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КС!$A$14:$DM$519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КС!$A:$M,КС!$6:$10</definedName>
  </definedNames>
  <calcPr calcId="145621"/>
</workbook>
</file>

<file path=xl/calcChain.xml><?xml version="1.0" encoding="utf-8"?>
<calcChain xmlns="http://schemas.openxmlformats.org/spreadsheetml/2006/main">
  <c r="AR519" i="1" l="1"/>
  <c r="AQ519" i="1"/>
  <c r="CW518" i="1"/>
  <c r="CW517" i="1" s="1"/>
  <c r="CT518" i="1"/>
  <c r="CT517" i="1" s="1"/>
  <c r="CR518" i="1"/>
  <c r="CR517" i="1" s="1"/>
  <c r="CP518" i="1"/>
  <c r="CP517" i="1" s="1"/>
  <c r="CN518" i="1"/>
  <c r="CN517" i="1" s="1"/>
  <c r="CL518" i="1"/>
  <c r="CL517" i="1" s="1"/>
  <c r="CH518" i="1"/>
  <c r="CH517" i="1" s="1"/>
  <c r="CF518" i="1"/>
  <c r="CF517" i="1" s="1"/>
  <c r="CD518" i="1"/>
  <c r="CD517" i="1" s="1"/>
  <c r="CB518" i="1"/>
  <c r="CB517" i="1" s="1"/>
  <c r="BZ518" i="1"/>
  <c r="BZ517" i="1" s="1"/>
  <c r="BX518" i="1"/>
  <c r="BX517" i="1" s="1"/>
  <c r="BV518" i="1"/>
  <c r="BV517" i="1" s="1"/>
  <c r="BT518" i="1"/>
  <c r="BT517" i="1" s="1"/>
  <c r="BR518" i="1"/>
  <c r="BR517" i="1" s="1"/>
  <c r="BP518" i="1"/>
  <c r="BP517" i="1" s="1"/>
  <c r="BN518" i="1"/>
  <c r="BN517" i="1" s="1"/>
  <c r="BL518" i="1"/>
  <c r="BL517" i="1" s="1"/>
  <c r="BJ518" i="1"/>
  <c r="BJ517" i="1" s="1"/>
  <c r="BH518" i="1"/>
  <c r="BH517" i="1" s="1"/>
  <c r="BF518" i="1"/>
  <c r="BF517" i="1" s="1"/>
  <c r="BB518" i="1"/>
  <c r="AZ518" i="1"/>
  <c r="AZ517" i="1" s="1"/>
  <c r="AX518" i="1"/>
  <c r="AX517" i="1" s="1"/>
  <c r="AP518" i="1"/>
  <c r="AP517" i="1" s="1"/>
  <c r="AN518" i="1"/>
  <c r="AL518" i="1"/>
  <c r="AL517" i="1" s="1"/>
  <c r="AJ518" i="1"/>
  <c r="AJ517" i="1" s="1"/>
  <c r="AH518" i="1"/>
  <c r="AH517" i="1" s="1"/>
  <c r="AF518" i="1"/>
  <c r="AF517" i="1" s="1"/>
  <c r="AB518" i="1"/>
  <c r="AB517" i="1" s="1"/>
  <c r="Z518" i="1"/>
  <c r="Z517" i="1" s="1"/>
  <c r="X518" i="1"/>
  <c r="X517" i="1" s="1"/>
  <c r="V518" i="1"/>
  <c r="V517" i="1" s="1"/>
  <c r="T518" i="1"/>
  <c r="T517" i="1" s="1"/>
  <c r="R518" i="1"/>
  <c r="R517" i="1" s="1"/>
  <c r="CV517" i="1"/>
  <c r="CU517" i="1"/>
  <c r="CS517" i="1"/>
  <c r="CQ517" i="1"/>
  <c r="CO517" i="1"/>
  <c r="CM517" i="1"/>
  <c r="CK517" i="1"/>
  <c r="CJ517" i="1"/>
  <c r="CI517" i="1"/>
  <c r="CG517" i="1"/>
  <c r="CE517" i="1"/>
  <c r="CC517" i="1"/>
  <c r="CA517" i="1"/>
  <c r="BY517" i="1"/>
  <c r="BW517" i="1"/>
  <c r="BU517" i="1"/>
  <c r="BS517" i="1"/>
  <c r="BQ517" i="1"/>
  <c r="BO517" i="1"/>
  <c r="BM517" i="1"/>
  <c r="BK517" i="1"/>
  <c r="BI517" i="1"/>
  <c r="BG517" i="1"/>
  <c r="BE517" i="1"/>
  <c r="BD517" i="1"/>
  <c r="BC517" i="1"/>
  <c r="BB517" i="1"/>
  <c r="BA517" i="1"/>
  <c r="AY517" i="1"/>
  <c r="AW517" i="1"/>
  <c r="AV517" i="1"/>
  <c r="AU517" i="1"/>
  <c r="AT517" i="1"/>
  <c r="AS517" i="1"/>
  <c r="AO517" i="1"/>
  <c r="AN517" i="1"/>
  <c r="AM517" i="1"/>
  <c r="AK517" i="1"/>
  <c r="AI517" i="1"/>
  <c r="AG517" i="1"/>
  <c r="AE517" i="1"/>
  <c r="AD517" i="1"/>
  <c r="AC517" i="1"/>
  <c r="AA517" i="1"/>
  <c r="Y517" i="1"/>
  <c r="W517" i="1"/>
  <c r="U517" i="1"/>
  <c r="S517" i="1"/>
  <c r="Q517" i="1"/>
  <c r="CW516" i="1"/>
  <c r="CT516" i="1"/>
  <c r="CR516" i="1"/>
  <c r="CP516" i="1"/>
  <c r="CN516" i="1"/>
  <c r="CL516" i="1"/>
  <c r="CJ516" i="1"/>
  <c r="CH516" i="1"/>
  <c r="CF516" i="1"/>
  <c r="CD516" i="1"/>
  <c r="CB516" i="1"/>
  <c r="BZ516" i="1"/>
  <c r="BX516" i="1"/>
  <c r="BV516" i="1"/>
  <c r="BT516" i="1"/>
  <c r="BR516" i="1"/>
  <c r="BP516" i="1"/>
  <c r="BN516" i="1"/>
  <c r="BL516" i="1"/>
  <c r="BJ516" i="1"/>
  <c r="BH516" i="1"/>
  <c r="BF516" i="1"/>
  <c r="BD516" i="1"/>
  <c r="BB516" i="1"/>
  <c r="AZ516" i="1"/>
  <c r="AX516" i="1"/>
  <c r="AP516" i="1"/>
  <c r="AN516" i="1"/>
  <c r="AL516" i="1"/>
  <c r="AJ516" i="1"/>
  <c r="AH516" i="1"/>
  <c r="AF516" i="1"/>
  <c r="AB516" i="1"/>
  <c r="Z516" i="1"/>
  <c r="X516" i="1"/>
  <c r="V516" i="1"/>
  <c r="T516" i="1"/>
  <c r="R516" i="1"/>
  <c r="CW515" i="1"/>
  <c r="CT515" i="1"/>
  <c r="CR515" i="1"/>
  <c r="CP515" i="1"/>
  <c r="CN515" i="1"/>
  <c r="CL515" i="1"/>
  <c r="CJ515" i="1"/>
  <c r="CH515" i="1"/>
  <c r="CF515" i="1"/>
  <c r="CD515" i="1"/>
  <c r="CB515" i="1"/>
  <c r="BZ515" i="1"/>
  <c r="BX515" i="1"/>
  <c r="BV515" i="1"/>
  <c r="BT515" i="1"/>
  <c r="BR515" i="1"/>
  <c r="BP515" i="1"/>
  <c r="BN515" i="1"/>
  <c r="BL515" i="1"/>
  <c r="BJ515" i="1"/>
  <c r="BH515" i="1"/>
  <c r="BF515" i="1"/>
  <c r="BD515" i="1"/>
  <c r="BB515" i="1"/>
  <c r="AZ515" i="1"/>
  <c r="AX515" i="1"/>
  <c r="AP515" i="1"/>
  <c r="AN515" i="1"/>
  <c r="AL515" i="1"/>
  <c r="AJ515" i="1"/>
  <c r="AH515" i="1"/>
  <c r="AF515" i="1"/>
  <c r="AB515" i="1"/>
  <c r="Z515" i="1"/>
  <c r="X515" i="1"/>
  <c r="V515" i="1"/>
  <c r="T515" i="1"/>
  <c r="R515" i="1"/>
  <c r="CW514" i="1"/>
  <c r="CT514" i="1"/>
  <c r="CR514" i="1"/>
  <c r="CP514" i="1"/>
  <c r="CN514" i="1"/>
  <c r="CL514" i="1"/>
  <c r="CJ514" i="1"/>
  <c r="CH514" i="1"/>
  <c r="CF514" i="1"/>
  <c r="CD514" i="1"/>
  <c r="CB514" i="1"/>
  <c r="BZ514" i="1"/>
  <c r="BX514" i="1"/>
  <c r="BV514" i="1"/>
  <c r="BT514" i="1"/>
  <c r="BR514" i="1"/>
  <c r="BP514" i="1"/>
  <c r="BN514" i="1"/>
  <c r="BL514" i="1"/>
  <c r="BJ514" i="1"/>
  <c r="BH514" i="1"/>
  <c r="BF514" i="1"/>
  <c r="BD514" i="1"/>
  <c r="BB514" i="1"/>
  <c r="AZ514" i="1"/>
  <c r="AX514" i="1"/>
  <c r="AP514" i="1"/>
  <c r="AN514" i="1"/>
  <c r="AL514" i="1"/>
  <c r="AJ514" i="1"/>
  <c r="AH514" i="1"/>
  <c r="AF514" i="1"/>
  <c r="AB514" i="1"/>
  <c r="Z514" i="1"/>
  <c r="X514" i="1"/>
  <c r="V514" i="1"/>
  <c r="T514" i="1"/>
  <c r="R514" i="1"/>
  <c r="CW513" i="1"/>
  <c r="CV513" i="1"/>
  <c r="CT513" i="1"/>
  <c r="CR513" i="1"/>
  <c r="CP513" i="1"/>
  <c r="CN513" i="1"/>
  <c r="CL513" i="1"/>
  <c r="CH513" i="1"/>
  <c r="CF513" i="1"/>
  <c r="CD513" i="1"/>
  <c r="CB513" i="1"/>
  <c r="BZ513" i="1"/>
  <c r="BX513" i="1"/>
  <c r="BV513" i="1"/>
  <c r="BT513" i="1"/>
  <c r="BR513" i="1"/>
  <c r="BP513" i="1"/>
  <c r="BN513" i="1"/>
  <c r="BL513" i="1"/>
  <c r="BJ513" i="1"/>
  <c r="BH513" i="1"/>
  <c r="BF513" i="1"/>
  <c r="BD513" i="1"/>
  <c r="BB513" i="1"/>
  <c r="AZ513" i="1"/>
  <c r="AX513" i="1"/>
  <c r="AV513" i="1"/>
  <c r="AT513" i="1"/>
  <c r="AP513" i="1"/>
  <c r="AN513" i="1"/>
  <c r="AL513" i="1"/>
  <c r="AJ513" i="1"/>
  <c r="AH513" i="1"/>
  <c r="AF513" i="1"/>
  <c r="AB513" i="1"/>
  <c r="Z513" i="1"/>
  <c r="X513" i="1"/>
  <c r="V513" i="1"/>
  <c r="T513" i="1"/>
  <c r="R513" i="1"/>
  <c r="CW512" i="1"/>
  <c r="CV512" i="1"/>
  <c r="CT512" i="1"/>
  <c r="CR512" i="1"/>
  <c r="CP512" i="1"/>
  <c r="CN512" i="1"/>
  <c r="CL512" i="1"/>
  <c r="CH512" i="1"/>
  <c r="CF512" i="1"/>
  <c r="CD512" i="1"/>
  <c r="CB512" i="1"/>
  <c r="BZ512" i="1"/>
  <c r="BX512" i="1"/>
  <c r="BV512" i="1"/>
  <c r="BT512" i="1"/>
  <c r="BR512" i="1"/>
  <c r="BP512" i="1"/>
  <c r="BN512" i="1"/>
  <c r="BL512" i="1"/>
  <c r="BJ512" i="1"/>
  <c r="BH512" i="1"/>
  <c r="BF512" i="1"/>
  <c r="BD512" i="1"/>
  <c r="BB512" i="1"/>
  <c r="AZ512" i="1"/>
  <c r="AX512" i="1"/>
  <c r="AV512" i="1"/>
  <c r="AT512" i="1"/>
  <c r="AP512" i="1"/>
  <c r="AN512" i="1"/>
  <c r="AL512" i="1"/>
  <c r="AJ512" i="1"/>
  <c r="AH512" i="1"/>
  <c r="AF512" i="1"/>
  <c r="AB512" i="1"/>
  <c r="Z512" i="1"/>
  <c r="X512" i="1"/>
  <c r="V512" i="1"/>
  <c r="T512" i="1"/>
  <c r="R512" i="1"/>
  <c r="CW511" i="1"/>
  <c r="CV511" i="1"/>
  <c r="CT511" i="1"/>
  <c r="CR511" i="1"/>
  <c r="CP511" i="1"/>
  <c r="CN511" i="1"/>
  <c r="CL511" i="1"/>
  <c r="CH511" i="1"/>
  <c r="CF511" i="1"/>
  <c r="CD511" i="1"/>
  <c r="CB511" i="1"/>
  <c r="BZ511" i="1"/>
  <c r="BX511" i="1"/>
  <c r="BV511" i="1"/>
  <c r="BT511" i="1"/>
  <c r="BR511" i="1"/>
  <c r="BP511" i="1"/>
  <c r="BN511" i="1"/>
  <c r="BL511" i="1"/>
  <c r="BJ511" i="1"/>
  <c r="BH511" i="1"/>
  <c r="BF511" i="1"/>
  <c r="BD511" i="1"/>
  <c r="BB511" i="1"/>
  <c r="AZ511" i="1"/>
  <c r="AX511" i="1"/>
  <c r="AV511" i="1"/>
  <c r="AT511" i="1"/>
  <c r="AP511" i="1"/>
  <c r="AN511" i="1"/>
  <c r="AL511" i="1"/>
  <c r="AJ511" i="1"/>
  <c r="AH511" i="1"/>
  <c r="AF511" i="1"/>
  <c r="AB511" i="1"/>
  <c r="Z511" i="1"/>
  <c r="X511" i="1"/>
  <c r="V511" i="1"/>
  <c r="T511" i="1"/>
  <c r="R511" i="1"/>
  <c r="CW510" i="1"/>
  <c r="CV510" i="1"/>
  <c r="CT510" i="1"/>
  <c r="CR510" i="1"/>
  <c r="CP510" i="1"/>
  <c r="CN510" i="1"/>
  <c r="CL510" i="1"/>
  <c r="CH510" i="1"/>
  <c r="CF510" i="1"/>
  <c r="CD510" i="1"/>
  <c r="CB510" i="1"/>
  <c r="BZ510" i="1"/>
  <c r="BX510" i="1"/>
  <c r="BV510" i="1"/>
  <c r="BT510" i="1"/>
  <c r="BR510" i="1"/>
  <c r="BP510" i="1"/>
  <c r="BN510" i="1"/>
  <c r="BL510" i="1"/>
  <c r="BJ510" i="1"/>
  <c r="BH510" i="1"/>
  <c r="BF510" i="1"/>
  <c r="BD510" i="1"/>
  <c r="BB510" i="1"/>
  <c r="AZ510" i="1"/>
  <c r="AX510" i="1"/>
  <c r="AV510" i="1"/>
  <c r="AT510" i="1"/>
  <c r="AP510" i="1"/>
  <c r="AN510" i="1"/>
  <c r="AL510" i="1"/>
  <c r="AJ510" i="1"/>
  <c r="AH510" i="1"/>
  <c r="AF510" i="1"/>
  <c r="AB510" i="1"/>
  <c r="Z510" i="1"/>
  <c r="X510" i="1"/>
  <c r="V510" i="1"/>
  <c r="T510" i="1"/>
  <c r="R510" i="1"/>
  <c r="CW509" i="1"/>
  <c r="CV509" i="1"/>
  <c r="CT509" i="1"/>
  <c r="CR509" i="1"/>
  <c r="CP509" i="1"/>
  <c r="CN509" i="1"/>
  <c r="CL509" i="1"/>
  <c r="CH509" i="1"/>
  <c r="CF509" i="1"/>
  <c r="CD509" i="1"/>
  <c r="CB509" i="1"/>
  <c r="BZ509" i="1"/>
  <c r="BX509" i="1"/>
  <c r="BV509" i="1"/>
  <c r="BT509" i="1"/>
  <c r="BR509" i="1"/>
  <c r="BP509" i="1"/>
  <c r="BN509" i="1"/>
  <c r="BL509" i="1"/>
  <c r="BJ509" i="1"/>
  <c r="BH509" i="1"/>
  <c r="BF509" i="1"/>
  <c r="BD509" i="1"/>
  <c r="BB509" i="1"/>
  <c r="AZ509" i="1"/>
  <c r="AX509" i="1"/>
  <c r="AV509" i="1"/>
  <c r="AT509" i="1"/>
  <c r="AP509" i="1"/>
  <c r="AN509" i="1"/>
  <c r="AL509" i="1"/>
  <c r="AJ509" i="1"/>
  <c r="AH509" i="1"/>
  <c r="AF509" i="1"/>
  <c r="AB509" i="1"/>
  <c r="Z509" i="1"/>
  <c r="X509" i="1"/>
  <c r="V509" i="1"/>
  <c r="T509" i="1"/>
  <c r="R509" i="1"/>
  <c r="CW508" i="1"/>
  <c r="CV508" i="1"/>
  <c r="CT508" i="1"/>
  <c r="CR508" i="1"/>
  <c r="CP508" i="1"/>
  <c r="CN508" i="1"/>
  <c r="CL508" i="1"/>
  <c r="CH508" i="1"/>
  <c r="CF508" i="1"/>
  <c r="CD508" i="1"/>
  <c r="CB508" i="1"/>
  <c r="BZ508" i="1"/>
  <c r="BX508" i="1"/>
  <c r="BV508" i="1"/>
  <c r="BT508" i="1"/>
  <c r="BR508" i="1"/>
  <c r="BP508" i="1"/>
  <c r="BN508" i="1"/>
  <c r="BL508" i="1"/>
  <c r="BJ508" i="1"/>
  <c r="BH508" i="1"/>
  <c r="BF508" i="1"/>
  <c r="BD508" i="1"/>
  <c r="BB508" i="1"/>
  <c r="AZ508" i="1"/>
  <c r="AX508" i="1"/>
  <c r="AV508" i="1"/>
  <c r="AT508" i="1"/>
  <c r="AP508" i="1"/>
  <c r="AN508" i="1"/>
  <c r="AL508" i="1"/>
  <c r="AJ508" i="1"/>
  <c r="AH508" i="1"/>
  <c r="AF508" i="1"/>
  <c r="AB508" i="1"/>
  <c r="Z508" i="1"/>
  <c r="X508" i="1"/>
  <c r="V508" i="1"/>
  <c r="T508" i="1"/>
  <c r="R508" i="1"/>
  <c r="CW507" i="1"/>
  <c r="CV507" i="1"/>
  <c r="CT507" i="1"/>
  <c r="CR507" i="1"/>
  <c r="CP507" i="1"/>
  <c r="CN507" i="1"/>
  <c r="CL507" i="1"/>
  <c r="CH507" i="1"/>
  <c r="CF507" i="1"/>
  <c r="CD507" i="1"/>
  <c r="CB507" i="1"/>
  <c r="BZ507" i="1"/>
  <c r="BX507" i="1"/>
  <c r="BV507" i="1"/>
  <c r="BT507" i="1"/>
  <c r="BR507" i="1"/>
  <c r="BP507" i="1"/>
  <c r="BN507" i="1"/>
  <c r="BL507" i="1"/>
  <c r="BJ507" i="1"/>
  <c r="BH507" i="1"/>
  <c r="BF507" i="1"/>
  <c r="BD507" i="1"/>
  <c r="BB507" i="1"/>
  <c r="AZ507" i="1"/>
  <c r="AX507" i="1"/>
  <c r="AV507" i="1"/>
  <c r="AT507" i="1"/>
  <c r="AP507" i="1"/>
  <c r="AN507" i="1"/>
  <c r="AL507" i="1"/>
  <c r="AJ507" i="1"/>
  <c r="AH507" i="1"/>
  <c r="AF507" i="1"/>
  <c r="AB507" i="1"/>
  <c r="Z507" i="1"/>
  <c r="X507" i="1"/>
  <c r="V507" i="1"/>
  <c r="T507" i="1"/>
  <c r="R507" i="1"/>
  <c r="CW506" i="1"/>
  <c r="CV506" i="1"/>
  <c r="CT506" i="1"/>
  <c r="CR506" i="1"/>
  <c r="CP506" i="1"/>
  <c r="CN506" i="1"/>
  <c r="CL506" i="1"/>
  <c r="CH506" i="1"/>
  <c r="CF506" i="1"/>
  <c r="CD506" i="1"/>
  <c r="CB506" i="1"/>
  <c r="BZ506" i="1"/>
  <c r="BX506" i="1"/>
  <c r="BV506" i="1"/>
  <c r="BT506" i="1"/>
  <c r="BR506" i="1"/>
  <c r="BP506" i="1"/>
  <c r="BN506" i="1"/>
  <c r="BL506" i="1"/>
  <c r="BJ506" i="1"/>
  <c r="BH506" i="1"/>
  <c r="BF506" i="1"/>
  <c r="BD506" i="1"/>
  <c r="BB506" i="1"/>
  <c r="AZ506" i="1"/>
  <c r="AX506" i="1"/>
  <c r="AV506" i="1"/>
  <c r="AT506" i="1"/>
  <c r="AP506" i="1"/>
  <c r="AN506" i="1"/>
  <c r="AL506" i="1"/>
  <c r="AJ506" i="1"/>
  <c r="AH506" i="1"/>
  <c r="AF506" i="1"/>
  <c r="AB506" i="1"/>
  <c r="Z506" i="1"/>
  <c r="X506" i="1"/>
  <c r="V506" i="1"/>
  <c r="T506" i="1"/>
  <c r="R506" i="1"/>
  <c r="CW505" i="1"/>
  <c r="CV505" i="1"/>
  <c r="CT505" i="1"/>
  <c r="CR505" i="1"/>
  <c r="CP505" i="1"/>
  <c r="CN505" i="1"/>
  <c r="CL505" i="1"/>
  <c r="CH505" i="1"/>
  <c r="CF505" i="1"/>
  <c r="CD505" i="1"/>
  <c r="CB505" i="1"/>
  <c r="BZ505" i="1"/>
  <c r="BX505" i="1"/>
  <c r="BV505" i="1"/>
  <c r="BT505" i="1"/>
  <c r="BR505" i="1"/>
  <c r="BP505" i="1"/>
  <c r="BN505" i="1"/>
  <c r="BL505" i="1"/>
  <c r="BJ505" i="1"/>
  <c r="BH505" i="1"/>
  <c r="BF505" i="1"/>
  <c r="BD505" i="1"/>
  <c r="BB505" i="1"/>
  <c r="AZ505" i="1"/>
  <c r="AX505" i="1"/>
  <c r="AV505" i="1"/>
  <c r="AT505" i="1"/>
  <c r="AP505" i="1"/>
  <c r="AN505" i="1"/>
  <c r="AL505" i="1"/>
  <c r="AJ505" i="1"/>
  <c r="AH505" i="1"/>
  <c r="AF505" i="1"/>
  <c r="AB505" i="1"/>
  <c r="Z505" i="1"/>
  <c r="X505" i="1"/>
  <c r="V505" i="1"/>
  <c r="T505" i="1"/>
  <c r="R505" i="1"/>
  <c r="CW504" i="1"/>
  <c r="CV504" i="1"/>
  <c r="CT504" i="1"/>
  <c r="CR504" i="1"/>
  <c r="CP504" i="1"/>
  <c r="CN504" i="1"/>
  <c r="CL504" i="1"/>
  <c r="CH504" i="1"/>
  <c r="CF504" i="1"/>
  <c r="CD504" i="1"/>
  <c r="CB504" i="1"/>
  <c r="BZ504" i="1"/>
  <c r="BX504" i="1"/>
  <c r="BV504" i="1"/>
  <c r="BT504" i="1"/>
  <c r="BR504" i="1"/>
  <c r="BP504" i="1"/>
  <c r="BN504" i="1"/>
  <c r="BL504" i="1"/>
  <c r="BJ504" i="1"/>
  <c r="BH504" i="1"/>
  <c r="BF504" i="1"/>
  <c r="BD504" i="1"/>
  <c r="BB504" i="1"/>
  <c r="AZ504" i="1"/>
  <c r="AX504" i="1"/>
  <c r="AV504" i="1"/>
  <c r="AT504" i="1"/>
  <c r="AP504" i="1"/>
  <c r="AN504" i="1"/>
  <c r="AL504" i="1"/>
  <c r="AJ504" i="1"/>
  <c r="AH504" i="1"/>
  <c r="AF504" i="1"/>
  <c r="AB504" i="1"/>
  <c r="Z504" i="1"/>
  <c r="X504" i="1"/>
  <c r="V504" i="1"/>
  <c r="T504" i="1"/>
  <c r="R504" i="1"/>
  <c r="CW503" i="1"/>
  <c r="CV503" i="1"/>
  <c r="CT503" i="1"/>
  <c r="CR503" i="1"/>
  <c r="CP503" i="1"/>
  <c r="CN503" i="1"/>
  <c r="CL503" i="1"/>
  <c r="CH503" i="1"/>
  <c r="CF503" i="1"/>
  <c r="CD503" i="1"/>
  <c r="CB503" i="1"/>
  <c r="BZ503" i="1"/>
  <c r="BX503" i="1"/>
  <c r="BV503" i="1"/>
  <c r="BT503" i="1"/>
  <c r="BR503" i="1"/>
  <c r="BP503" i="1"/>
  <c r="BN503" i="1"/>
  <c r="BL503" i="1"/>
  <c r="BJ503" i="1"/>
  <c r="BH503" i="1"/>
  <c r="BF503" i="1"/>
  <c r="BD503" i="1"/>
  <c r="BB503" i="1"/>
  <c r="AZ503" i="1"/>
  <c r="AX503" i="1"/>
  <c r="AV503" i="1"/>
  <c r="AT503" i="1"/>
  <c r="AP503" i="1"/>
  <c r="AN503" i="1"/>
  <c r="AL503" i="1"/>
  <c r="AJ503" i="1"/>
  <c r="AH503" i="1"/>
  <c r="AF503" i="1"/>
  <c r="AB503" i="1"/>
  <c r="Z503" i="1"/>
  <c r="X503" i="1"/>
  <c r="V503" i="1"/>
  <c r="T503" i="1"/>
  <c r="R503" i="1"/>
  <c r="CW502" i="1"/>
  <c r="CV502" i="1"/>
  <c r="CT502" i="1"/>
  <c r="CR502" i="1"/>
  <c r="CP502" i="1"/>
  <c r="CN502" i="1"/>
  <c r="CL502" i="1"/>
  <c r="CH502" i="1"/>
  <c r="CF502" i="1"/>
  <c r="CD502" i="1"/>
  <c r="CB502" i="1"/>
  <c r="BZ502" i="1"/>
  <c r="BX502" i="1"/>
  <c r="BV502" i="1"/>
  <c r="BT502" i="1"/>
  <c r="BR502" i="1"/>
  <c r="BP502" i="1"/>
  <c r="BN502" i="1"/>
  <c r="BL502" i="1"/>
  <c r="BJ502" i="1"/>
  <c r="BH502" i="1"/>
  <c r="BF502" i="1"/>
  <c r="BD502" i="1"/>
  <c r="BB502" i="1"/>
  <c r="AZ502" i="1"/>
  <c r="AX502" i="1"/>
  <c r="AV502" i="1"/>
  <c r="AT502" i="1"/>
  <c r="AP502" i="1"/>
  <c r="AN502" i="1"/>
  <c r="AL502" i="1"/>
  <c r="AJ502" i="1"/>
  <c r="AH502" i="1"/>
  <c r="AF502" i="1"/>
  <c r="AB502" i="1"/>
  <c r="Z502" i="1"/>
  <c r="X502" i="1"/>
  <c r="V502" i="1"/>
  <c r="T502" i="1"/>
  <c r="R502" i="1"/>
  <c r="CW501" i="1"/>
  <c r="CV501" i="1"/>
  <c r="CT501" i="1"/>
  <c r="CR501" i="1"/>
  <c r="CP501" i="1"/>
  <c r="CN501" i="1"/>
  <c r="CL501" i="1"/>
  <c r="CH501" i="1"/>
  <c r="CF501" i="1"/>
  <c r="CD501" i="1"/>
  <c r="CB501" i="1"/>
  <c r="BZ501" i="1"/>
  <c r="BX501" i="1"/>
  <c r="BV501" i="1"/>
  <c r="BT501" i="1"/>
  <c r="BR501" i="1"/>
  <c r="BP501" i="1"/>
  <c r="BN501" i="1"/>
  <c r="BL501" i="1"/>
  <c r="BJ501" i="1"/>
  <c r="BH501" i="1"/>
  <c r="BF501" i="1"/>
  <c r="BD501" i="1"/>
  <c r="BB501" i="1"/>
  <c r="AZ501" i="1"/>
  <c r="AX501" i="1"/>
  <c r="AV501" i="1"/>
  <c r="AT501" i="1"/>
  <c r="AP501" i="1"/>
  <c r="AN501" i="1"/>
  <c r="AL501" i="1"/>
  <c r="AJ501" i="1"/>
  <c r="AH501" i="1"/>
  <c r="AF501" i="1"/>
  <c r="AB501" i="1"/>
  <c r="Z501" i="1"/>
  <c r="X501" i="1"/>
  <c r="V501" i="1"/>
  <c r="T501" i="1"/>
  <c r="R501" i="1"/>
  <c r="CW500" i="1"/>
  <c r="CV500" i="1"/>
  <c r="CT500" i="1"/>
  <c r="CR500" i="1"/>
  <c r="CP500" i="1"/>
  <c r="CN500" i="1"/>
  <c r="CL500" i="1"/>
  <c r="CH500" i="1"/>
  <c r="CF500" i="1"/>
  <c r="CD500" i="1"/>
  <c r="CB500" i="1"/>
  <c r="BZ500" i="1"/>
  <c r="BX500" i="1"/>
  <c r="BV500" i="1"/>
  <c r="BT500" i="1"/>
  <c r="BR500" i="1"/>
  <c r="BP500" i="1"/>
  <c r="BN500" i="1"/>
  <c r="BL500" i="1"/>
  <c r="BJ500" i="1"/>
  <c r="BH500" i="1"/>
  <c r="BF500" i="1"/>
  <c r="BD500" i="1"/>
  <c r="BB500" i="1"/>
  <c r="AZ500" i="1"/>
  <c r="AX500" i="1"/>
  <c r="AV500" i="1"/>
  <c r="AT500" i="1"/>
  <c r="AP500" i="1"/>
  <c r="AN500" i="1"/>
  <c r="AL500" i="1"/>
  <c r="AJ500" i="1"/>
  <c r="AH500" i="1"/>
  <c r="AF500" i="1"/>
  <c r="AB500" i="1"/>
  <c r="Z500" i="1"/>
  <c r="X500" i="1"/>
  <c r="V500" i="1"/>
  <c r="T500" i="1"/>
  <c r="R500" i="1"/>
  <c r="CW499" i="1"/>
  <c r="CV499" i="1"/>
  <c r="CT499" i="1"/>
  <c r="CR499" i="1"/>
  <c r="CP499" i="1"/>
  <c r="CN499" i="1"/>
  <c r="CL499" i="1"/>
  <c r="CH499" i="1"/>
  <c r="CF499" i="1"/>
  <c r="CD499" i="1"/>
  <c r="CB499" i="1"/>
  <c r="BZ499" i="1"/>
  <c r="BX499" i="1"/>
  <c r="BV499" i="1"/>
  <c r="BT499" i="1"/>
  <c r="BR499" i="1"/>
  <c r="BP499" i="1"/>
  <c r="BN499" i="1"/>
  <c r="BL499" i="1"/>
  <c r="BJ499" i="1"/>
  <c r="BH499" i="1"/>
  <c r="BF499" i="1"/>
  <c r="BD499" i="1"/>
  <c r="BB499" i="1"/>
  <c r="AZ499" i="1"/>
  <c r="AX499" i="1"/>
  <c r="AV499" i="1"/>
  <c r="AT499" i="1"/>
  <c r="AP499" i="1"/>
  <c r="AN499" i="1"/>
  <c r="AL499" i="1"/>
  <c r="AJ499" i="1"/>
  <c r="AH499" i="1"/>
  <c r="AF499" i="1"/>
  <c r="AB499" i="1"/>
  <c r="Z499" i="1"/>
  <c r="X499" i="1"/>
  <c r="V499" i="1"/>
  <c r="T499" i="1"/>
  <c r="R499" i="1"/>
  <c r="CW498" i="1"/>
  <c r="CV498" i="1"/>
  <c r="CT498" i="1"/>
  <c r="CR498" i="1"/>
  <c r="CP498" i="1"/>
  <c r="CN498" i="1"/>
  <c r="CL498" i="1"/>
  <c r="CH498" i="1"/>
  <c r="CF498" i="1"/>
  <c r="CD498" i="1"/>
  <c r="CB498" i="1"/>
  <c r="BZ498" i="1"/>
  <c r="BX498" i="1"/>
  <c r="BV498" i="1"/>
  <c r="BT498" i="1"/>
  <c r="BR498" i="1"/>
  <c r="BP498" i="1"/>
  <c r="BN498" i="1"/>
  <c r="BL498" i="1"/>
  <c r="BJ498" i="1"/>
  <c r="BH498" i="1"/>
  <c r="BF498" i="1"/>
  <c r="BD498" i="1"/>
  <c r="BB498" i="1"/>
  <c r="AZ498" i="1"/>
  <c r="AX498" i="1"/>
  <c r="AV498" i="1"/>
  <c r="AT498" i="1"/>
  <c r="AP498" i="1"/>
  <c r="AN498" i="1"/>
  <c r="AL498" i="1"/>
  <c r="AJ498" i="1"/>
  <c r="AH498" i="1"/>
  <c r="AF498" i="1"/>
  <c r="AB498" i="1"/>
  <c r="Z498" i="1"/>
  <c r="X498" i="1"/>
  <c r="V498" i="1"/>
  <c r="T498" i="1"/>
  <c r="R498" i="1"/>
  <c r="CW497" i="1"/>
  <c r="CV497" i="1"/>
  <c r="CT497" i="1"/>
  <c r="CR497" i="1"/>
  <c r="CP497" i="1"/>
  <c r="CN497" i="1"/>
  <c r="CL497" i="1"/>
  <c r="CH497" i="1"/>
  <c r="CF497" i="1"/>
  <c r="CD497" i="1"/>
  <c r="CB497" i="1"/>
  <c r="BZ497" i="1"/>
  <c r="BX497" i="1"/>
  <c r="BV497" i="1"/>
  <c r="BT497" i="1"/>
  <c r="BR497" i="1"/>
  <c r="BP497" i="1"/>
  <c r="BN497" i="1"/>
  <c r="BL497" i="1"/>
  <c r="BJ497" i="1"/>
  <c r="BH497" i="1"/>
  <c r="BF497" i="1"/>
  <c r="BD497" i="1"/>
  <c r="BB497" i="1"/>
  <c r="AZ497" i="1"/>
  <c r="AX497" i="1"/>
  <c r="AV497" i="1"/>
  <c r="AT497" i="1"/>
  <c r="AP497" i="1"/>
  <c r="AN497" i="1"/>
  <c r="AL497" i="1"/>
  <c r="AJ497" i="1"/>
  <c r="AH497" i="1"/>
  <c r="AF497" i="1"/>
  <c r="AB497" i="1"/>
  <c r="Z497" i="1"/>
  <c r="X497" i="1"/>
  <c r="V497" i="1"/>
  <c r="T497" i="1"/>
  <c r="R497" i="1"/>
  <c r="CW496" i="1"/>
  <c r="CV496" i="1"/>
  <c r="CT496" i="1"/>
  <c r="CR496" i="1"/>
  <c r="CP496" i="1"/>
  <c r="CN496" i="1"/>
  <c r="CL496" i="1"/>
  <c r="CH496" i="1"/>
  <c r="CF496" i="1"/>
  <c r="CD496" i="1"/>
  <c r="CB496" i="1"/>
  <c r="BZ496" i="1"/>
  <c r="BX496" i="1"/>
  <c r="BV496" i="1"/>
  <c r="BT496" i="1"/>
  <c r="BR496" i="1"/>
  <c r="BP496" i="1"/>
  <c r="BN496" i="1"/>
  <c r="BL496" i="1"/>
  <c r="BJ496" i="1"/>
  <c r="BH496" i="1"/>
  <c r="BF496" i="1"/>
  <c r="BD496" i="1"/>
  <c r="BB496" i="1"/>
  <c r="AZ496" i="1"/>
  <c r="AX496" i="1"/>
  <c r="AV496" i="1"/>
  <c r="AT496" i="1"/>
  <c r="AP496" i="1"/>
  <c r="AN496" i="1"/>
  <c r="AL496" i="1"/>
  <c r="AJ496" i="1"/>
  <c r="AH496" i="1"/>
  <c r="AF496" i="1"/>
  <c r="AB496" i="1"/>
  <c r="Z496" i="1"/>
  <c r="X496" i="1"/>
  <c r="V496" i="1"/>
  <c r="T496" i="1"/>
  <c r="R496" i="1"/>
  <c r="CW495" i="1"/>
  <c r="CV495" i="1"/>
  <c r="CT495" i="1"/>
  <c r="CR495" i="1"/>
  <c r="CP495" i="1"/>
  <c r="CN495" i="1"/>
  <c r="CL495" i="1"/>
  <c r="CH495" i="1"/>
  <c r="CF495" i="1"/>
  <c r="CD495" i="1"/>
  <c r="CB495" i="1"/>
  <c r="BZ495" i="1"/>
  <c r="BX495" i="1"/>
  <c r="BV495" i="1"/>
  <c r="BT495" i="1"/>
  <c r="BR495" i="1"/>
  <c r="BP495" i="1"/>
  <c r="BN495" i="1"/>
  <c r="BL495" i="1"/>
  <c r="BJ495" i="1"/>
  <c r="BH495" i="1"/>
  <c r="BF495" i="1"/>
  <c r="BD495" i="1"/>
  <c r="BB495" i="1"/>
  <c r="AZ495" i="1"/>
  <c r="AX495" i="1"/>
  <c r="AV495" i="1"/>
  <c r="AT495" i="1"/>
  <c r="AP495" i="1"/>
  <c r="AN495" i="1"/>
  <c r="AL495" i="1"/>
  <c r="AJ495" i="1"/>
  <c r="AH495" i="1"/>
  <c r="AF495" i="1"/>
  <c r="AB495" i="1"/>
  <c r="Z495" i="1"/>
  <c r="X495" i="1"/>
  <c r="V495" i="1"/>
  <c r="T495" i="1"/>
  <c r="R495" i="1"/>
  <c r="CW494" i="1"/>
  <c r="CT494" i="1"/>
  <c r="CR494" i="1"/>
  <c r="CP494" i="1"/>
  <c r="CN494" i="1"/>
  <c r="CL494" i="1"/>
  <c r="CJ494" i="1"/>
  <c r="CH494" i="1"/>
  <c r="CF494" i="1"/>
  <c r="CD494" i="1"/>
  <c r="CB494" i="1"/>
  <c r="BZ494" i="1"/>
  <c r="BX494" i="1"/>
  <c r="BV494" i="1"/>
  <c r="BT494" i="1"/>
  <c r="BR494" i="1"/>
  <c r="BP494" i="1"/>
  <c r="BN494" i="1"/>
  <c r="BL494" i="1"/>
  <c r="BJ494" i="1"/>
  <c r="BH494" i="1"/>
  <c r="BF494" i="1"/>
  <c r="BD494" i="1"/>
  <c r="BB494" i="1"/>
  <c r="AZ494" i="1"/>
  <c r="AX494" i="1"/>
  <c r="AP494" i="1"/>
  <c r="AN494" i="1"/>
  <c r="AL494" i="1"/>
  <c r="AJ494" i="1"/>
  <c r="AH494" i="1"/>
  <c r="AF494" i="1"/>
  <c r="AB494" i="1"/>
  <c r="Z494" i="1"/>
  <c r="X494" i="1"/>
  <c r="V494" i="1"/>
  <c r="T494" i="1"/>
  <c r="R494" i="1"/>
  <c r="CW493" i="1"/>
  <c r="CV493" i="1"/>
  <c r="CT493" i="1"/>
  <c r="CR493" i="1"/>
  <c r="CP493" i="1"/>
  <c r="CN493" i="1"/>
  <c r="CL493" i="1"/>
  <c r="CH493" i="1"/>
  <c r="CF493" i="1"/>
  <c r="CD493" i="1"/>
  <c r="CB493" i="1"/>
  <c r="BZ493" i="1"/>
  <c r="BX493" i="1"/>
  <c r="BV493" i="1"/>
  <c r="BT493" i="1"/>
  <c r="BR493" i="1"/>
  <c r="BP493" i="1"/>
  <c r="BN493" i="1"/>
  <c r="BL493" i="1"/>
  <c r="BJ493" i="1"/>
  <c r="BH493" i="1"/>
  <c r="BF493" i="1"/>
  <c r="BD493" i="1"/>
  <c r="BB493" i="1"/>
  <c r="AZ493" i="1"/>
  <c r="AX493" i="1"/>
  <c r="AV493" i="1"/>
  <c r="AT493" i="1"/>
  <c r="AP493" i="1"/>
  <c r="AN493" i="1"/>
  <c r="AL493" i="1"/>
  <c r="AJ493" i="1"/>
  <c r="AH493" i="1"/>
  <c r="AF493" i="1"/>
  <c r="AB493" i="1"/>
  <c r="Z493" i="1"/>
  <c r="X493" i="1"/>
  <c r="V493" i="1"/>
  <c r="T493" i="1"/>
  <c r="R493" i="1"/>
  <c r="CW492" i="1"/>
  <c r="CV492" i="1"/>
  <c r="CT492" i="1"/>
  <c r="CR492" i="1"/>
  <c r="CP492" i="1"/>
  <c r="CN492" i="1"/>
  <c r="CL492" i="1"/>
  <c r="CH492" i="1"/>
  <c r="CF492" i="1"/>
  <c r="CD492" i="1"/>
  <c r="CB492" i="1"/>
  <c r="BZ492" i="1"/>
  <c r="BX492" i="1"/>
  <c r="BV492" i="1"/>
  <c r="BT492" i="1"/>
  <c r="BR492" i="1"/>
  <c r="BP492" i="1"/>
  <c r="BN492" i="1"/>
  <c r="BL492" i="1"/>
  <c r="BJ492" i="1"/>
  <c r="BH492" i="1"/>
  <c r="BF492" i="1"/>
  <c r="BD492" i="1"/>
  <c r="BB492" i="1"/>
  <c r="AZ492" i="1"/>
  <c r="AX492" i="1"/>
  <c r="AV492" i="1"/>
  <c r="AT492" i="1"/>
  <c r="AP492" i="1"/>
  <c r="AN492" i="1"/>
  <c r="AL492" i="1"/>
  <c r="AJ492" i="1"/>
  <c r="AH492" i="1"/>
  <c r="AF492" i="1"/>
  <c r="AB492" i="1"/>
  <c r="Z492" i="1"/>
  <c r="X492" i="1"/>
  <c r="V492" i="1"/>
  <c r="T492" i="1"/>
  <c r="R492" i="1"/>
  <c r="CW491" i="1"/>
  <c r="CV491" i="1"/>
  <c r="CT491" i="1"/>
  <c r="CR491" i="1"/>
  <c r="CP491" i="1"/>
  <c r="CN491" i="1"/>
  <c r="CL491" i="1"/>
  <c r="CH491" i="1"/>
  <c r="CF491" i="1"/>
  <c r="CD491" i="1"/>
  <c r="CB491" i="1"/>
  <c r="BZ491" i="1"/>
  <c r="BX491" i="1"/>
  <c r="BV491" i="1"/>
  <c r="BT491" i="1"/>
  <c r="BR491" i="1"/>
  <c r="BP491" i="1"/>
  <c r="BN491" i="1"/>
  <c r="BL491" i="1"/>
  <c r="BJ491" i="1"/>
  <c r="BH491" i="1"/>
  <c r="BF491" i="1"/>
  <c r="BD491" i="1"/>
  <c r="BB491" i="1"/>
  <c r="AZ491" i="1"/>
  <c r="AX491" i="1"/>
  <c r="AV491" i="1"/>
  <c r="AT491" i="1"/>
  <c r="AP491" i="1"/>
  <c r="AN491" i="1"/>
  <c r="AL491" i="1"/>
  <c r="AL490" i="1" s="1"/>
  <c r="AJ491" i="1"/>
  <c r="AH491" i="1"/>
  <c r="AF491" i="1"/>
  <c r="AB491" i="1"/>
  <c r="Z491" i="1"/>
  <c r="X491" i="1"/>
  <c r="V491" i="1"/>
  <c r="T491" i="1"/>
  <c r="R491" i="1"/>
  <c r="CU490" i="1"/>
  <c r="CS490" i="1"/>
  <c r="CQ490" i="1"/>
  <c r="CO490" i="1"/>
  <c r="CM490" i="1"/>
  <c r="CK490" i="1"/>
  <c r="CI490" i="1"/>
  <c r="CG490" i="1"/>
  <c r="CE490" i="1"/>
  <c r="CC490" i="1"/>
  <c r="CA490" i="1"/>
  <c r="BY490" i="1"/>
  <c r="BW490" i="1"/>
  <c r="BU490" i="1"/>
  <c r="BS490" i="1"/>
  <c r="BQ490" i="1"/>
  <c r="BO490" i="1"/>
  <c r="BM490" i="1"/>
  <c r="BK490" i="1"/>
  <c r="BI490" i="1"/>
  <c r="BG490" i="1"/>
  <c r="BF490" i="1"/>
  <c r="BE490" i="1"/>
  <c r="BC490" i="1"/>
  <c r="BA490" i="1"/>
  <c r="AY490" i="1"/>
  <c r="AW490" i="1"/>
  <c r="AU490" i="1"/>
  <c r="AS490" i="1"/>
  <c r="AO490" i="1"/>
  <c r="AM490" i="1"/>
  <c r="AK490" i="1"/>
  <c r="AI490" i="1"/>
  <c r="AG490" i="1"/>
  <c r="AE490" i="1"/>
  <c r="AD490" i="1"/>
  <c r="AC490" i="1"/>
  <c r="AA490" i="1"/>
  <c r="Y490" i="1"/>
  <c r="W490" i="1"/>
  <c r="U490" i="1"/>
  <c r="S490" i="1"/>
  <c r="Q490" i="1"/>
  <c r="CW489" i="1"/>
  <c r="CT489" i="1"/>
  <c r="CH489" i="1"/>
  <c r="BP489" i="1"/>
  <c r="BN489" i="1"/>
  <c r="BF489" i="1"/>
  <c r="AP489" i="1"/>
  <c r="AN489" i="1"/>
  <c r="AL489" i="1"/>
  <c r="AJ489" i="1"/>
  <c r="AH489" i="1"/>
  <c r="AF489" i="1"/>
  <c r="AB489" i="1"/>
  <c r="Z489" i="1"/>
  <c r="X489" i="1"/>
  <c r="V489" i="1"/>
  <c r="T489" i="1"/>
  <c r="R489" i="1"/>
  <c r="CW488" i="1"/>
  <c r="CT488" i="1"/>
  <c r="CH488" i="1"/>
  <c r="BP488" i="1"/>
  <c r="BN488" i="1"/>
  <c r="BF488" i="1"/>
  <c r="AP488" i="1"/>
  <c r="AN488" i="1"/>
  <c r="AL488" i="1"/>
  <c r="AJ488" i="1"/>
  <c r="AH488" i="1"/>
  <c r="AF488" i="1"/>
  <c r="AB488" i="1"/>
  <c r="Z488" i="1"/>
  <c r="X488" i="1"/>
  <c r="V488" i="1"/>
  <c r="T488" i="1"/>
  <c r="R488" i="1"/>
  <c r="CW487" i="1"/>
  <c r="CT487" i="1"/>
  <c r="CH487" i="1"/>
  <c r="BP487" i="1"/>
  <c r="BN487" i="1"/>
  <c r="BF487" i="1"/>
  <c r="AP487" i="1"/>
  <c r="AN487" i="1"/>
  <c r="AL487" i="1"/>
  <c r="AJ487" i="1"/>
  <c r="AH487" i="1"/>
  <c r="AF487" i="1"/>
  <c r="AB487" i="1"/>
  <c r="Z487" i="1"/>
  <c r="X487" i="1"/>
  <c r="V487" i="1"/>
  <c r="T487" i="1"/>
  <c r="R487" i="1"/>
  <c r="CW486" i="1"/>
  <c r="CT486" i="1"/>
  <c r="CH486" i="1"/>
  <c r="BP486" i="1"/>
  <c r="BN486" i="1"/>
  <c r="BF486" i="1"/>
  <c r="AP486" i="1"/>
  <c r="AN486" i="1"/>
  <c r="AL486" i="1"/>
  <c r="AJ486" i="1"/>
  <c r="AH486" i="1"/>
  <c r="AF486" i="1"/>
  <c r="AB486" i="1"/>
  <c r="Z486" i="1"/>
  <c r="X486" i="1"/>
  <c r="V486" i="1"/>
  <c r="T486" i="1"/>
  <c r="R486" i="1"/>
  <c r="CW485" i="1"/>
  <c r="CT485" i="1"/>
  <c r="CH485" i="1"/>
  <c r="BP485" i="1"/>
  <c r="BN485" i="1"/>
  <c r="BF485" i="1"/>
  <c r="AP485" i="1"/>
  <c r="AN485" i="1"/>
  <c r="AL485" i="1"/>
  <c r="AJ485" i="1"/>
  <c r="AH485" i="1"/>
  <c r="AF485" i="1"/>
  <c r="AB485" i="1"/>
  <c r="Z485" i="1"/>
  <c r="X485" i="1"/>
  <c r="V485" i="1"/>
  <c r="T485" i="1"/>
  <c r="R485" i="1"/>
  <c r="CW484" i="1"/>
  <c r="CT484" i="1"/>
  <c r="CH484" i="1"/>
  <c r="BP484" i="1"/>
  <c r="BN484" i="1"/>
  <c r="BF484" i="1"/>
  <c r="AP484" i="1"/>
  <c r="AN484" i="1"/>
  <c r="AL484" i="1"/>
  <c r="AJ484" i="1"/>
  <c r="AH484" i="1"/>
  <c r="AF484" i="1"/>
  <c r="AB484" i="1"/>
  <c r="Z484" i="1"/>
  <c r="X484" i="1"/>
  <c r="V484" i="1"/>
  <c r="T484" i="1"/>
  <c r="R484" i="1"/>
  <c r="CW483" i="1"/>
  <c r="CT483" i="1"/>
  <c r="CH483" i="1"/>
  <c r="BP483" i="1"/>
  <c r="BN483" i="1"/>
  <c r="BF483" i="1"/>
  <c r="AP483" i="1"/>
  <c r="AN483" i="1"/>
  <c r="AL483" i="1"/>
  <c r="AJ483" i="1"/>
  <c r="AH483" i="1"/>
  <c r="AF483" i="1"/>
  <c r="AB483" i="1"/>
  <c r="Z483" i="1"/>
  <c r="X483" i="1"/>
  <c r="V483" i="1"/>
  <c r="T483" i="1"/>
  <c r="R483" i="1"/>
  <c r="CW482" i="1"/>
  <c r="CT482" i="1"/>
  <c r="CH482" i="1"/>
  <c r="BP482" i="1"/>
  <c r="BN482" i="1"/>
  <c r="BF482" i="1"/>
  <c r="AP482" i="1"/>
  <c r="AN482" i="1"/>
  <c r="AL482" i="1"/>
  <c r="AJ482" i="1"/>
  <c r="AH482" i="1"/>
  <c r="AF482" i="1"/>
  <c r="AB482" i="1"/>
  <c r="Z482" i="1"/>
  <c r="X482" i="1"/>
  <c r="V482" i="1"/>
  <c r="T482" i="1"/>
  <c r="R482" i="1"/>
  <c r="CW481" i="1"/>
  <c r="CT481" i="1"/>
  <c r="CH481" i="1"/>
  <c r="BP481" i="1"/>
  <c r="BN481" i="1"/>
  <c r="BF481" i="1"/>
  <c r="AP481" i="1"/>
  <c r="AN481" i="1"/>
  <c r="AL481" i="1"/>
  <c r="AJ481" i="1"/>
  <c r="AH481" i="1"/>
  <c r="AF481" i="1"/>
  <c r="AB481" i="1"/>
  <c r="Z481" i="1"/>
  <c r="X481" i="1"/>
  <c r="V481" i="1"/>
  <c r="R481" i="1"/>
  <c r="CW480" i="1"/>
  <c r="CT480" i="1"/>
  <c r="CH480" i="1"/>
  <c r="BP480" i="1"/>
  <c r="BN480" i="1"/>
  <c r="BF480" i="1"/>
  <c r="AP480" i="1"/>
  <c r="AN480" i="1"/>
  <c r="AL480" i="1"/>
  <c r="AJ480" i="1"/>
  <c r="AH480" i="1"/>
  <c r="AF480" i="1"/>
  <c r="AB480" i="1"/>
  <c r="Z480" i="1"/>
  <c r="X480" i="1"/>
  <c r="V480" i="1"/>
  <c r="R480" i="1"/>
  <c r="CW479" i="1"/>
  <c r="CT479" i="1"/>
  <c r="CH479" i="1"/>
  <c r="BP479" i="1"/>
  <c r="BN479" i="1"/>
  <c r="BF479" i="1"/>
  <c r="AP479" i="1"/>
  <c r="AN479" i="1"/>
  <c r="AL479" i="1"/>
  <c r="AJ479" i="1"/>
  <c r="AH479" i="1"/>
  <c r="AF479" i="1"/>
  <c r="AB479" i="1"/>
  <c r="Z479" i="1"/>
  <c r="X479" i="1"/>
  <c r="V479" i="1"/>
  <c r="R479" i="1"/>
  <c r="CW478" i="1"/>
  <c r="CT478" i="1"/>
  <c r="CH478" i="1"/>
  <c r="BP478" i="1"/>
  <c r="BN478" i="1"/>
  <c r="BF478" i="1"/>
  <c r="AP478" i="1"/>
  <c r="AN478" i="1"/>
  <c r="AL478" i="1"/>
  <c r="AJ478" i="1"/>
  <c r="AH478" i="1"/>
  <c r="AF478" i="1"/>
  <c r="AB478" i="1"/>
  <c r="Z478" i="1"/>
  <c r="X478" i="1"/>
  <c r="V478" i="1"/>
  <c r="R478" i="1"/>
  <c r="CW477" i="1"/>
  <c r="CT477" i="1"/>
  <c r="CH477" i="1"/>
  <c r="BP477" i="1"/>
  <c r="BN477" i="1"/>
  <c r="BF477" i="1"/>
  <c r="AP477" i="1"/>
  <c r="AN477" i="1"/>
  <c r="AL477" i="1"/>
  <c r="AJ477" i="1"/>
  <c r="AH477" i="1"/>
  <c r="AF477" i="1"/>
  <c r="AB477" i="1"/>
  <c r="Z477" i="1"/>
  <c r="X477" i="1"/>
  <c r="V477" i="1"/>
  <c r="R477" i="1"/>
  <c r="CW476" i="1"/>
  <c r="CT476" i="1"/>
  <c r="CH476" i="1"/>
  <c r="BP476" i="1"/>
  <c r="BN476" i="1"/>
  <c r="BF476" i="1"/>
  <c r="AP476" i="1"/>
  <c r="AN476" i="1"/>
  <c r="AL476" i="1"/>
  <c r="AJ476" i="1"/>
  <c r="AH476" i="1"/>
  <c r="AF476" i="1"/>
  <c r="AB476" i="1"/>
  <c r="Z476" i="1"/>
  <c r="X476" i="1"/>
  <c r="V476" i="1"/>
  <c r="R476" i="1"/>
  <c r="CW475" i="1"/>
  <c r="CT475" i="1"/>
  <c r="CH475" i="1"/>
  <c r="BP475" i="1"/>
  <c r="BN475" i="1"/>
  <c r="BF475" i="1"/>
  <c r="AP475" i="1"/>
  <c r="AN475" i="1"/>
  <c r="AL475" i="1"/>
  <c r="AJ475" i="1"/>
  <c r="AH475" i="1"/>
  <c r="AF475" i="1"/>
  <c r="AB475" i="1"/>
  <c r="Z475" i="1"/>
  <c r="X475" i="1"/>
  <c r="V475" i="1"/>
  <c r="R475" i="1"/>
  <c r="CW474" i="1"/>
  <c r="CT474" i="1"/>
  <c r="CH474" i="1"/>
  <c r="BP474" i="1"/>
  <c r="BN474" i="1"/>
  <c r="BF474" i="1"/>
  <c r="AP474" i="1"/>
  <c r="AN474" i="1"/>
  <c r="AL474" i="1"/>
  <c r="AJ474" i="1"/>
  <c r="AH474" i="1"/>
  <c r="AF474" i="1"/>
  <c r="AB474" i="1"/>
  <c r="Z474" i="1"/>
  <c r="X474" i="1"/>
  <c r="V474" i="1"/>
  <c r="R474" i="1"/>
  <c r="CW473" i="1"/>
  <c r="CT473" i="1"/>
  <c r="CH473" i="1"/>
  <c r="BP473" i="1"/>
  <c r="BN473" i="1"/>
  <c r="BF473" i="1"/>
  <c r="AP473" i="1"/>
  <c r="AN473" i="1"/>
  <c r="AL473" i="1"/>
  <c r="AJ473" i="1"/>
  <c r="AH473" i="1"/>
  <c r="AF473" i="1"/>
  <c r="AB473" i="1"/>
  <c r="Z473" i="1"/>
  <c r="X473" i="1"/>
  <c r="V473" i="1"/>
  <c r="R473" i="1"/>
  <c r="CW472" i="1"/>
  <c r="CT472" i="1"/>
  <c r="CH472" i="1"/>
  <c r="BP472" i="1"/>
  <c r="BN472" i="1"/>
  <c r="BF472" i="1"/>
  <c r="AP472" i="1"/>
  <c r="AN472" i="1"/>
  <c r="AL472" i="1"/>
  <c r="AJ472" i="1"/>
  <c r="AH472" i="1"/>
  <c r="AF472" i="1"/>
  <c r="AB472" i="1"/>
  <c r="Z472" i="1"/>
  <c r="X472" i="1"/>
  <c r="V472" i="1"/>
  <c r="R472" i="1"/>
  <c r="CW471" i="1"/>
  <c r="CT471" i="1"/>
  <c r="CH471" i="1"/>
  <c r="BP471" i="1"/>
  <c r="BN471" i="1"/>
  <c r="BF471" i="1"/>
  <c r="AP471" i="1"/>
  <c r="AN471" i="1"/>
  <c r="AL471" i="1"/>
  <c r="AJ471" i="1"/>
  <c r="AH471" i="1"/>
  <c r="AF471" i="1"/>
  <c r="AB471" i="1"/>
  <c r="Z471" i="1"/>
  <c r="X471" i="1"/>
  <c r="V471" i="1"/>
  <c r="R471" i="1"/>
  <c r="CW470" i="1"/>
  <c r="CT470" i="1"/>
  <c r="CH470" i="1"/>
  <c r="BP470" i="1"/>
  <c r="BN470" i="1"/>
  <c r="BF470" i="1"/>
  <c r="AP470" i="1"/>
  <c r="AN470" i="1"/>
  <c r="AL470" i="1"/>
  <c r="AJ470" i="1"/>
  <c r="AH470" i="1"/>
  <c r="AF470" i="1"/>
  <c r="AB470" i="1"/>
  <c r="Z470" i="1"/>
  <c r="X470" i="1"/>
  <c r="V470" i="1"/>
  <c r="R470" i="1"/>
  <c r="CW469" i="1"/>
  <c r="BP469" i="1"/>
  <c r="BN469" i="1"/>
  <c r="BF469" i="1"/>
  <c r="AP469" i="1"/>
  <c r="AN469" i="1"/>
  <c r="AL469" i="1"/>
  <c r="AJ469" i="1"/>
  <c r="AH469" i="1"/>
  <c r="AF469" i="1"/>
  <c r="AB469" i="1"/>
  <c r="Z469" i="1"/>
  <c r="X469" i="1"/>
  <c r="V469" i="1"/>
  <c r="R469" i="1"/>
  <c r="CW468" i="1"/>
  <c r="CT468" i="1"/>
  <c r="CR468" i="1"/>
  <c r="CP468" i="1"/>
  <c r="CN468" i="1"/>
  <c r="CH468" i="1"/>
  <c r="CF468" i="1"/>
  <c r="CD468" i="1"/>
  <c r="CB468" i="1"/>
  <c r="BZ468" i="1"/>
  <c r="BX468" i="1"/>
  <c r="BT468" i="1"/>
  <c r="BP468" i="1"/>
  <c r="BN468" i="1"/>
  <c r="BL468" i="1"/>
  <c r="BJ468" i="1"/>
  <c r="BH468" i="1"/>
  <c r="BF468" i="1"/>
  <c r="BD468" i="1"/>
  <c r="BB468" i="1"/>
  <c r="AZ468" i="1"/>
  <c r="AX468" i="1"/>
  <c r="AP468" i="1"/>
  <c r="AN468" i="1"/>
  <c r="AL468" i="1"/>
  <c r="AJ468" i="1"/>
  <c r="AH468" i="1"/>
  <c r="AF468" i="1"/>
  <c r="AB468" i="1"/>
  <c r="Z468" i="1"/>
  <c r="X468" i="1"/>
  <c r="V468" i="1"/>
  <c r="T468" i="1"/>
  <c r="R468" i="1"/>
  <c r="CW467" i="1"/>
  <c r="CT467" i="1"/>
  <c r="CR467" i="1"/>
  <c r="CP467" i="1"/>
  <c r="CN467" i="1"/>
  <c r="CH467" i="1"/>
  <c r="CF467" i="1"/>
  <c r="CD467" i="1"/>
  <c r="CB467" i="1"/>
  <c r="BZ467" i="1"/>
  <c r="BX467" i="1"/>
  <c r="BT467" i="1"/>
  <c r="BP467" i="1"/>
  <c r="BN467" i="1"/>
  <c r="BL467" i="1"/>
  <c r="BJ467" i="1"/>
  <c r="BH467" i="1"/>
  <c r="BF467" i="1"/>
  <c r="BD467" i="1"/>
  <c r="BB467" i="1"/>
  <c r="AZ467" i="1"/>
  <c r="AX467" i="1"/>
  <c r="AP467" i="1"/>
  <c r="AN467" i="1"/>
  <c r="AL467" i="1"/>
  <c r="AJ467" i="1"/>
  <c r="AH467" i="1"/>
  <c r="AF467" i="1"/>
  <c r="AB467" i="1"/>
  <c r="Z467" i="1"/>
  <c r="X467" i="1"/>
  <c r="V467" i="1"/>
  <c r="T467" i="1"/>
  <c r="R467" i="1"/>
  <c r="CJ466" i="1"/>
  <c r="BP466" i="1"/>
  <c r="BN466" i="1"/>
  <c r="BF466" i="1"/>
  <c r="AP466" i="1"/>
  <c r="AN466" i="1"/>
  <c r="AL466" i="1"/>
  <c r="AJ466" i="1"/>
  <c r="AH466" i="1"/>
  <c r="AF466" i="1"/>
  <c r="AB466" i="1"/>
  <c r="Y466" i="1"/>
  <c r="CW466" i="1" s="1"/>
  <c r="X466" i="1"/>
  <c r="V466" i="1"/>
  <c r="R466" i="1"/>
  <c r="CT465" i="1"/>
  <c r="CR465" i="1"/>
  <c r="CP465" i="1"/>
  <c r="CN465" i="1"/>
  <c r="CH465" i="1"/>
  <c r="CF465" i="1"/>
  <c r="CD465" i="1"/>
  <c r="CB465" i="1"/>
  <c r="BZ465" i="1"/>
  <c r="BX465" i="1"/>
  <c r="BT465" i="1"/>
  <c r="BP465" i="1"/>
  <c r="BN465" i="1"/>
  <c r="BL465" i="1"/>
  <c r="BJ465" i="1"/>
  <c r="BH465" i="1"/>
  <c r="BF465" i="1"/>
  <c r="BD465" i="1"/>
  <c r="BB465" i="1"/>
  <c r="AZ465" i="1"/>
  <c r="AX465" i="1"/>
  <c r="AP465" i="1"/>
  <c r="AN465" i="1"/>
  <c r="AL465" i="1"/>
  <c r="AJ465" i="1"/>
  <c r="AH465" i="1"/>
  <c r="AF465" i="1"/>
  <c r="AB465" i="1"/>
  <c r="Z465" i="1"/>
  <c r="X465" i="1"/>
  <c r="V465" i="1"/>
  <c r="S465" i="1"/>
  <c r="CW465" i="1" s="1"/>
  <c r="R465" i="1"/>
  <c r="CW464" i="1"/>
  <c r="CT464" i="1"/>
  <c r="CR464" i="1"/>
  <c r="CP464" i="1"/>
  <c r="CN464" i="1"/>
  <c r="CH464" i="1"/>
  <c r="CF464" i="1"/>
  <c r="CD464" i="1"/>
  <c r="CB464" i="1"/>
  <c r="BZ464" i="1"/>
  <c r="BX464" i="1"/>
  <c r="BT464" i="1"/>
  <c r="BP464" i="1"/>
  <c r="BN464" i="1"/>
  <c r="BL464" i="1"/>
  <c r="BJ464" i="1"/>
  <c r="BH464" i="1"/>
  <c r="BF464" i="1"/>
  <c r="BD464" i="1"/>
  <c r="BB464" i="1"/>
  <c r="AZ464" i="1"/>
  <c r="AX464" i="1"/>
  <c r="AP464" i="1"/>
  <c r="AN464" i="1"/>
  <c r="AL464" i="1"/>
  <c r="AJ464" i="1"/>
  <c r="AH464" i="1"/>
  <c r="AF464" i="1"/>
  <c r="AB464" i="1"/>
  <c r="Z464" i="1"/>
  <c r="X464" i="1"/>
  <c r="V464" i="1"/>
  <c r="T464" i="1"/>
  <c r="R464" i="1"/>
  <c r="CW463" i="1"/>
  <c r="CT463" i="1"/>
  <c r="CR463" i="1"/>
  <c r="CP463" i="1"/>
  <c r="CN463" i="1"/>
  <c r="CH463" i="1"/>
  <c r="CF463" i="1"/>
  <c r="CD463" i="1"/>
  <c r="CB463" i="1"/>
  <c r="BZ463" i="1"/>
  <c r="BX463" i="1"/>
  <c r="BT463" i="1"/>
  <c r="BP463" i="1"/>
  <c r="BN463" i="1"/>
  <c r="BL463" i="1"/>
  <c r="BJ463" i="1"/>
  <c r="BH463" i="1"/>
  <c r="BF463" i="1"/>
  <c r="BD463" i="1"/>
  <c r="BB463" i="1"/>
  <c r="AZ463" i="1"/>
  <c r="AX463" i="1"/>
  <c r="AP463" i="1"/>
  <c r="AN463" i="1"/>
  <c r="AL463" i="1"/>
  <c r="AJ463" i="1"/>
  <c r="AH463" i="1"/>
  <c r="AF463" i="1"/>
  <c r="AB463" i="1"/>
  <c r="Z463" i="1"/>
  <c r="X463" i="1"/>
  <c r="V463" i="1"/>
  <c r="T463" i="1"/>
  <c r="R463" i="1"/>
  <c r="CW462" i="1"/>
  <c r="CV462" i="1"/>
  <c r="CT462" i="1"/>
  <c r="CR462" i="1"/>
  <c r="CP462" i="1"/>
  <c r="CN462" i="1"/>
  <c r="CL462" i="1"/>
  <c r="CH462" i="1"/>
  <c r="CF462" i="1"/>
  <c r="CD462" i="1"/>
  <c r="CB462" i="1"/>
  <c r="BZ462" i="1"/>
  <c r="BX462" i="1"/>
  <c r="BV462" i="1"/>
  <c r="BT462" i="1"/>
  <c r="BR462" i="1"/>
  <c r="BP462" i="1"/>
  <c r="BN462" i="1"/>
  <c r="BL462" i="1"/>
  <c r="BJ462" i="1"/>
  <c r="BH462" i="1"/>
  <c r="BF462" i="1"/>
  <c r="BD462" i="1"/>
  <c r="BB462" i="1"/>
  <c r="AZ462" i="1"/>
  <c r="AX462" i="1"/>
  <c r="AV462" i="1"/>
  <c r="AT462" i="1"/>
  <c r="AP462" i="1"/>
  <c r="AN462" i="1"/>
  <c r="AL462" i="1"/>
  <c r="AJ462" i="1"/>
  <c r="AH462" i="1"/>
  <c r="AF462" i="1"/>
  <c r="AB462" i="1"/>
  <c r="Z462" i="1"/>
  <c r="X462" i="1"/>
  <c r="V462" i="1"/>
  <c r="T462" i="1"/>
  <c r="R462" i="1"/>
  <c r="CW461" i="1"/>
  <c r="BP461" i="1"/>
  <c r="BN461" i="1"/>
  <c r="BF461" i="1"/>
  <c r="AP461" i="1"/>
  <c r="AN461" i="1"/>
  <c r="AL461" i="1"/>
  <c r="AJ461" i="1"/>
  <c r="AH461" i="1"/>
  <c r="AF461" i="1"/>
  <c r="AB461" i="1"/>
  <c r="Z461" i="1"/>
  <c r="X461" i="1"/>
  <c r="V461" i="1"/>
  <c r="R461" i="1"/>
  <c r="CW460" i="1"/>
  <c r="CT460" i="1"/>
  <c r="CR460" i="1"/>
  <c r="CP460" i="1"/>
  <c r="CN460" i="1"/>
  <c r="CL460" i="1"/>
  <c r="CJ460" i="1"/>
  <c r="CH460" i="1"/>
  <c r="CF460" i="1"/>
  <c r="CD460" i="1"/>
  <c r="CB460" i="1"/>
  <c r="BZ460" i="1"/>
  <c r="BX460" i="1"/>
  <c r="BV460" i="1"/>
  <c r="BT460" i="1"/>
  <c r="BR460" i="1"/>
  <c r="BP460" i="1"/>
  <c r="BN460" i="1"/>
  <c r="BL460" i="1"/>
  <c r="BJ460" i="1"/>
  <c r="BH460" i="1"/>
  <c r="BF460" i="1"/>
  <c r="BD460" i="1"/>
  <c r="BB460" i="1"/>
  <c r="AZ460" i="1"/>
  <c r="AX460" i="1"/>
  <c r="AP460" i="1"/>
  <c r="AN460" i="1"/>
  <c r="AL460" i="1"/>
  <c r="AJ460" i="1"/>
  <c r="AH460" i="1"/>
  <c r="AF460" i="1"/>
  <c r="AB460" i="1"/>
  <c r="Z460" i="1"/>
  <c r="X460" i="1"/>
  <c r="V460" i="1"/>
  <c r="T460" i="1"/>
  <c r="R460" i="1"/>
  <c r="CW459" i="1"/>
  <c r="CT459" i="1"/>
  <c r="CR459" i="1"/>
  <c r="CP459" i="1"/>
  <c r="CN459" i="1"/>
  <c r="CL459" i="1"/>
  <c r="CJ459" i="1"/>
  <c r="CH459" i="1"/>
  <c r="CF459" i="1"/>
  <c r="CD459" i="1"/>
  <c r="CB459" i="1"/>
  <c r="BZ459" i="1"/>
  <c r="BX459" i="1"/>
  <c r="BV459" i="1"/>
  <c r="BT459" i="1"/>
  <c r="BR459" i="1"/>
  <c r="BP459" i="1"/>
  <c r="BN459" i="1"/>
  <c r="BL459" i="1"/>
  <c r="BJ459" i="1"/>
  <c r="BH459" i="1"/>
  <c r="BF459" i="1"/>
  <c r="BD459" i="1"/>
  <c r="BB459" i="1"/>
  <c r="AZ459" i="1"/>
  <c r="AX459" i="1"/>
  <c r="AP459" i="1"/>
  <c r="AN459" i="1"/>
  <c r="AL459" i="1"/>
  <c r="AJ459" i="1"/>
  <c r="AH459" i="1"/>
  <c r="AF459" i="1"/>
  <c r="AB459" i="1"/>
  <c r="Z459" i="1"/>
  <c r="X459" i="1"/>
  <c r="V459" i="1"/>
  <c r="T459" i="1"/>
  <c r="R459" i="1"/>
  <c r="CT458" i="1"/>
  <c r="CR458" i="1"/>
  <c r="CP458" i="1"/>
  <c r="CN458" i="1"/>
  <c r="CL458" i="1"/>
  <c r="CH458" i="1"/>
  <c r="CF458" i="1"/>
  <c r="CD458" i="1"/>
  <c r="CB458" i="1"/>
  <c r="BZ458" i="1"/>
  <c r="BX458" i="1"/>
  <c r="BV458" i="1"/>
  <c r="BT458" i="1"/>
  <c r="BR458" i="1"/>
  <c r="BP458" i="1"/>
  <c r="BN458" i="1"/>
  <c r="BL458" i="1"/>
  <c r="BJ458" i="1"/>
  <c r="BH458" i="1"/>
  <c r="BF458" i="1"/>
  <c r="BB458" i="1"/>
  <c r="AZ458" i="1"/>
  <c r="AX458" i="1"/>
  <c r="AP458" i="1"/>
  <c r="AN458" i="1"/>
  <c r="AK458" i="1"/>
  <c r="CW458" i="1" s="1"/>
  <c r="AJ458" i="1"/>
  <c r="AH458" i="1"/>
  <c r="AF458" i="1"/>
  <c r="AB458" i="1"/>
  <c r="Z458" i="1"/>
  <c r="X458" i="1"/>
  <c r="V458" i="1"/>
  <c r="T458" i="1"/>
  <c r="R458" i="1"/>
  <c r="CW457" i="1"/>
  <c r="CT457" i="1"/>
  <c r="CR457" i="1"/>
  <c r="CP457" i="1"/>
  <c r="CN457" i="1"/>
  <c r="CL457" i="1"/>
  <c r="CJ457" i="1"/>
  <c r="CH457" i="1"/>
  <c r="CF457" i="1"/>
  <c r="CD457" i="1"/>
  <c r="CB457" i="1"/>
  <c r="BZ457" i="1"/>
  <c r="BX457" i="1"/>
  <c r="BV457" i="1"/>
  <c r="BT457" i="1"/>
  <c r="BR457" i="1"/>
  <c r="BP457" i="1"/>
  <c r="BN457" i="1"/>
  <c r="BL457" i="1"/>
  <c r="BJ457" i="1"/>
  <c r="BH457" i="1"/>
  <c r="BF457" i="1"/>
  <c r="BD457" i="1"/>
  <c r="BB457" i="1"/>
  <c r="AZ457" i="1"/>
  <c r="AX457" i="1"/>
  <c r="AP457" i="1"/>
  <c r="AN457" i="1"/>
  <c r="AL457" i="1"/>
  <c r="AJ457" i="1"/>
  <c r="AH457" i="1"/>
  <c r="AF457" i="1"/>
  <c r="AB457" i="1"/>
  <c r="Z457" i="1"/>
  <c r="X457" i="1"/>
  <c r="V457" i="1"/>
  <c r="T457" i="1"/>
  <c r="R457" i="1"/>
  <c r="CW456" i="1"/>
  <c r="CV456" i="1"/>
  <c r="CT456" i="1"/>
  <c r="CR456" i="1"/>
  <c r="CP456" i="1"/>
  <c r="CN456" i="1"/>
  <c r="CL456" i="1"/>
  <c r="CH456" i="1"/>
  <c r="CF456" i="1"/>
  <c r="CD456" i="1"/>
  <c r="CB456" i="1"/>
  <c r="BZ456" i="1"/>
  <c r="BX456" i="1"/>
  <c r="BV456" i="1"/>
  <c r="BT456" i="1"/>
  <c r="BR456" i="1"/>
  <c r="BP456" i="1"/>
  <c r="BN456" i="1"/>
  <c r="BL456" i="1"/>
  <c r="BJ456" i="1"/>
  <c r="BH456" i="1"/>
  <c r="BF456" i="1"/>
  <c r="BD456" i="1"/>
  <c r="BB456" i="1"/>
  <c r="AZ456" i="1"/>
  <c r="AX456" i="1"/>
  <c r="AV456" i="1"/>
  <c r="AT456" i="1"/>
  <c r="AP456" i="1"/>
  <c r="AN456" i="1"/>
  <c r="AL456" i="1"/>
  <c r="AJ456" i="1"/>
  <c r="AH456" i="1"/>
  <c r="AF456" i="1"/>
  <c r="AB456" i="1"/>
  <c r="Z456" i="1"/>
  <c r="X456" i="1"/>
  <c r="V456" i="1"/>
  <c r="T456" i="1"/>
  <c r="R456" i="1"/>
  <c r="CW455" i="1"/>
  <c r="CV455" i="1"/>
  <c r="CT455" i="1"/>
  <c r="CR455" i="1"/>
  <c r="CP455" i="1"/>
  <c r="CN455" i="1"/>
  <c r="CL455" i="1"/>
  <c r="CH455" i="1"/>
  <c r="CF455" i="1"/>
  <c r="CD455" i="1"/>
  <c r="CB455" i="1"/>
  <c r="BZ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AZ455" i="1"/>
  <c r="AX455" i="1"/>
  <c r="AV455" i="1"/>
  <c r="AT455" i="1"/>
  <c r="AP455" i="1"/>
  <c r="AN455" i="1"/>
  <c r="AL455" i="1"/>
  <c r="AJ455" i="1"/>
  <c r="AH455" i="1"/>
  <c r="AF455" i="1"/>
  <c r="AB455" i="1"/>
  <c r="Z455" i="1"/>
  <c r="X455" i="1"/>
  <c r="V455" i="1"/>
  <c r="T455" i="1"/>
  <c r="R455" i="1"/>
  <c r="CW454" i="1"/>
  <c r="CT454" i="1"/>
  <c r="CR454" i="1"/>
  <c r="CP454" i="1"/>
  <c r="CN454" i="1"/>
  <c r="CH454" i="1"/>
  <c r="CF454" i="1"/>
  <c r="CD454" i="1"/>
  <c r="CB454" i="1"/>
  <c r="BZ454" i="1"/>
  <c r="BX454" i="1"/>
  <c r="BT454" i="1"/>
  <c r="BP454" i="1"/>
  <c r="BN454" i="1"/>
  <c r="BL454" i="1"/>
  <c r="BJ454" i="1"/>
  <c r="BH454" i="1"/>
  <c r="BF454" i="1"/>
  <c r="BD454" i="1"/>
  <c r="BB454" i="1"/>
  <c r="AZ454" i="1"/>
  <c r="AX454" i="1"/>
  <c r="AP454" i="1"/>
  <c r="AN454" i="1"/>
  <c r="AL454" i="1"/>
  <c r="AJ454" i="1"/>
  <c r="AH454" i="1"/>
  <c r="AF454" i="1"/>
  <c r="AB454" i="1"/>
  <c r="Z454" i="1"/>
  <c r="X454" i="1"/>
  <c r="V454" i="1"/>
  <c r="T454" i="1"/>
  <c r="R454" i="1"/>
  <c r="CW453" i="1"/>
  <c r="CT453" i="1"/>
  <c r="CR453" i="1"/>
  <c r="CP453" i="1"/>
  <c r="CN453" i="1"/>
  <c r="CH453" i="1"/>
  <c r="CF453" i="1"/>
  <c r="CD453" i="1"/>
  <c r="CB453" i="1"/>
  <c r="BZ453" i="1"/>
  <c r="BX453" i="1"/>
  <c r="BT453" i="1"/>
  <c r="BP453" i="1"/>
  <c r="BN453" i="1"/>
  <c r="BL453" i="1"/>
  <c r="BJ453" i="1"/>
  <c r="BH453" i="1"/>
  <c r="BF453" i="1"/>
  <c r="BD453" i="1"/>
  <c r="BB453" i="1"/>
  <c r="AZ453" i="1"/>
  <c r="AX453" i="1"/>
  <c r="AP453" i="1"/>
  <c r="AN453" i="1"/>
  <c r="AL453" i="1"/>
  <c r="AJ453" i="1"/>
  <c r="AH453" i="1"/>
  <c r="AF453" i="1"/>
  <c r="AB453" i="1"/>
  <c r="Z453" i="1"/>
  <c r="X453" i="1"/>
  <c r="V453" i="1"/>
  <c r="T453" i="1"/>
  <c r="R453" i="1"/>
  <c r="CW452" i="1"/>
  <c r="CT452" i="1"/>
  <c r="CR452" i="1"/>
  <c r="CP452" i="1"/>
  <c r="CN452" i="1"/>
  <c r="CH452" i="1"/>
  <c r="CF452" i="1"/>
  <c r="CD452" i="1"/>
  <c r="CB452" i="1"/>
  <c r="BZ452" i="1"/>
  <c r="BX452" i="1"/>
  <c r="BT452" i="1"/>
  <c r="BP452" i="1"/>
  <c r="BN452" i="1"/>
  <c r="BL452" i="1"/>
  <c r="BJ452" i="1"/>
  <c r="BH452" i="1"/>
  <c r="BF452" i="1"/>
  <c r="BD452" i="1"/>
  <c r="BB452" i="1"/>
  <c r="AZ452" i="1"/>
  <c r="AX452" i="1"/>
  <c r="AP452" i="1"/>
  <c r="AN452" i="1"/>
  <c r="AL452" i="1"/>
  <c r="AJ452" i="1"/>
  <c r="AH452" i="1"/>
  <c r="AF452" i="1"/>
  <c r="AB452" i="1"/>
  <c r="Z452" i="1"/>
  <c r="X452" i="1"/>
  <c r="V452" i="1"/>
  <c r="T452" i="1"/>
  <c r="R452" i="1"/>
  <c r="CW451" i="1"/>
  <c r="CT451" i="1"/>
  <c r="CR451" i="1"/>
  <c r="CP451" i="1"/>
  <c r="CN451" i="1"/>
  <c r="CH451" i="1"/>
  <c r="CF451" i="1"/>
  <c r="CD451" i="1"/>
  <c r="CB451" i="1"/>
  <c r="BZ451" i="1"/>
  <c r="BX451" i="1"/>
  <c r="BT451" i="1"/>
  <c r="BP451" i="1"/>
  <c r="BN451" i="1"/>
  <c r="BL451" i="1"/>
  <c r="BJ451" i="1"/>
  <c r="BH451" i="1"/>
  <c r="BF451" i="1"/>
  <c r="BD451" i="1"/>
  <c r="BB451" i="1"/>
  <c r="AZ451" i="1"/>
  <c r="AX451" i="1"/>
  <c r="AP451" i="1"/>
  <c r="AN451" i="1"/>
  <c r="AL451" i="1"/>
  <c r="AJ451" i="1"/>
  <c r="AH451" i="1"/>
  <c r="AF451" i="1"/>
  <c r="AB451" i="1"/>
  <c r="Z451" i="1"/>
  <c r="X451" i="1"/>
  <c r="V451" i="1"/>
  <c r="T451" i="1"/>
  <c r="R451" i="1"/>
  <c r="CW450" i="1"/>
  <c r="CV450" i="1"/>
  <c r="CV447" i="1" s="1"/>
  <c r="CT450" i="1"/>
  <c r="CR450" i="1"/>
  <c r="CN450" i="1"/>
  <c r="CL450" i="1"/>
  <c r="CH450" i="1"/>
  <c r="CF450" i="1"/>
  <c r="CD450" i="1"/>
  <c r="CB450" i="1"/>
  <c r="BZ450" i="1"/>
  <c r="BX450" i="1"/>
  <c r="BV450" i="1"/>
  <c r="BT450" i="1"/>
  <c r="BR450" i="1"/>
  <c r="BP450" i="1"/>
  <c r="BN450" i="1"/>
  <c r="BL450" i="1"/>
  <c r="BJ450" i="1"/>
  <c r="BH450" i="1"/>
  <c r="BF450" i="1"/>
  <c r="BD450" i="1"/>
  <c r="BB450" i="1"/>
  <c r="AZ450" i="1"/>
  <c r="AX450" i="1"/>
  <c r="AV450" i="1"/>
  <c r="AT450" i="1"/>
  <c r="AP450" i="1"/>
  <c r="AN450" i="1"/>
  <c r="AL450" i="1"/>
  <c r="AJ450" i="1"/>
  <c r="AH450" i="1"/>
  <c r="AF450" i="1"/>
  <c r="AB450" i="1"/>
  <c r="Z450" i="1"/>
  <c r="X450" i="1"/>
  <c r="V450" i="1"/>
  <c r="T450" i="1"/>
  <c r="R450" i="1"/>
  <c r="CW449" i="1"/>
  <c r="CT449" i="1"/>
  <c r="CR449" i="1"/>
  <c r="CP449" i="1"/>
  <c r="CN449" i="1"/>
  <c r="CL449" i="1"/>
  <c r="CH449" i="1"/>
  <c r="CF449" i="1"/>
  <c r="CD449" i="1"/>
  <c r="CB449" i="1"/>
  <c r="BZ449" i="1"/>
  <c r="BX449" i="1"/>
  <c r="BV449" i="1"/>
  <c r="BT449" i="1"/>
  <c r="BR449" i="1"/>
  <c r="BP449" i="1"/>
  <c r="BN449" i="1"/>
  <c r="BL449" i="1"/>
  <c r="BJ449" i="1"/>
  <c r="BH449" i="1"/>
  <c r="BF449" i="1"/>
  <c r="BB449" i="1"/>
  <c r="AZ449" i="1"/>
  <c r="AX449" i="1"/>
  <c r="AP449" i="1"/>
  <c r="AN449" i="1"/>
  <c r="AL449" i="1"/>
  <c r="AJ449" i="1"/>
  <c r="AH449" i="1"/>
  <c r="AF449" i="1"/>
  <c r="AB449" i="1"/>
  <c r="Z449" i="1"/>
  <c r="X449" i="1"/>
  <c r="V449" i="1"/>
  <c r="T449" i="1"/>
  <c r="R449" i="1"/>
  <c r="CW448" i="1"/>
  <c r="CT448" i="1"/>
  <c r="CR448" i="1"/>
  <c r="CP448" i="1"/>
  <c r="CN448" i="1"/>
  <c r="CL448" i="1"/>
  <c r="CJ448" i="1"/>
  <c r="CH448" i="1"/>
  <c r="CF448" i="1"/>
  <c r="CD448" i="1"/>
  <c r="CB448" i="1"/>
  <c r="BZ448" i="1"/>
  <c r="BX448" i="1"/>
  <c r="BV448" i="1"/>
  <c r="BT448" i="1"/>
  <c r="BR448" i="1"/>
  <c r="BP448" i="1"/>
  <c r="BN448" i="1"/>
  <c r="BL448" i="1"/>
  <c r="BJ448" i="1"/>
  <c r="BH448" i="1"/>
  <c r="BF448" i="1"/>
  <c r="BD448" i="1"/>
  <c r="BB448" i="1"/>
  <c r="AZ448" i="1"/>
  <c r="AX448" i="1"/>
  <c r="AP448" i="1"/>
  <c r="AN448" i="1"/>
  <c r="AL448" i="1"/>
  <c r="AJ448" i="1"/>
  <c r="AH448" i="1"/>
  <c r="AF448" i="1"/>
  <c r="AB448" i="1"/>
  <c r="Z448" i="1"/>
  <c r="X448" i="1"/>
  <c r="V448" i="1"/>
  <c r="T448" i="1"/>
  <c r="R448" i="1"/>
  <c r="CU447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G447" i="1"/>
  <c r="BE447" i="1"/>
  <c r="BC447" i="1"/>
  <c r="BA447" i="1"/>
  <c r="AY447" i="1"/>
  <c r="AW447" i="1"/>
  <c r="AU447" i="1"/>
  <c r="AS447" i="1"/>
  <c r="AO447" i="1"/>
  <c r="AM447" i="1"/>
  <c r="AI447" i="1"/>
  <c r="AG447" i="1"/>
  <c r="AE447" i="1"/>
  <c r="AD447" i="1"/>
  <c r="AC447" i="1"/>
  <c r="AA447" i="1"/>
  <c r="Y447" i="1"/>
  <c r="W447" i="1"/>
  <c r="U447" i="1"/>
  <c r="S447" i="1"/>
  <c r="Q447" i="1"/>
  <c r="CW446" i="1"/>
  <c r="CV446" i="1"/>
  <c r="CT446" i="1"/>
  <c r="CR446" i="1"/>
  <c r="CP446" i="1"/>
  <c r="CN446" i="1"/>
  <c r="CL446" i="1"/>
  <c r="CH446" i="1"/>
  <c r="CF446" i="1"/>
  <c r="CD446" i="1"/>
  <c r="CB446" i="1"/>
  <c r="BZ446" i="1"/>
  <c r="BX446" i="1"/>
  <c r="BV446" i="1"/>
  <c r="BT446" i="1"/>
  <c r="BR446" i="1"/>
  <c r="BP446" i="1"/>
  <c r="BN446" i="1"/>
  <c r="BL446" i="1"/>
  <c r="BJ446" i="1"/>
  <c r="BH446" i="1"/>
  <c r="BF446" i="1"/>
  <c r="BD446" i="1"/>
  <c r="BB446" i="1"/>
  <c r="AZ446" i="1"/>
  <c r="AX446" i="1"/>
  <c r="AV446" i="1"/>
  <c r="AT446" i="1"/>
  <c r="AP446" i="1"/>
  <c r="AN446" i="1"/>
  <c r="AL446" i="1"/>
  <c r="AJ446" i="1"/>
  <c r="AH446" i="1"/>
  <c r="AF446" i="1"/>
  <c r="AB446" i="1"/>
  <c r="Z446" i="1"/>
  <c r="X446" i="1"/>
  <c r="V446" i="1"/>
  <c r="T446" i="1"/>
  <c r="R446" i="1"/>
  <c r="CW445" i="1"/>
  <c r="CV445" i="1"/>
  <c r="CT445" i="1"/>
  <c r="CR445" i="1"/>
  <c r="CP445" i="1"/>
  <c r="CN445" i="1"/>
  <c r="CL445" i="1"/>
  <c r="CH445" i="1"/>
  <c r="CF445" i="1"/>
  <c r="CD445" i="1"/>
  <c r="CB445" i="1"/>
  <c r="BZ445" i="1"/>
  <c r="BX445" i="1"/>
  <c r="BV445" i="1"/>
  <c r="BT445" i="1"/>
  <c r="BR445" i="1"/>
  <c r="BP445" i="1"/>
  <c r="BN445" i="1"/>
  <c r="BL445" i="1"/>
  <c r="BJ445" i="1"/>
  <c r="BH445" i="1"/>
  <c r="BF445" i="1"/>
  <c r="BD445" i="1"/>
  <c r="BB445" i="1"/>
  <c r="AZ445" i="1"/>
  <c r="AX445" i="1"/>
  <c r="AV445" i="1"/>
  <c r="AT445" i="1"/>
  <c r="AP445" i="1"/>
  <c r="AN445" i="1"/>
  <c r="AL445" i="1"/>
  <c r="AJ445" i="1"/>
  <c r="AH445" i="1"/>
  <c r="AF445" i="1"/>
  <c r="AB445" i="1"/>
  <c r="Z445" i="1"/>
  <c r="X445" i="1"/>
  <c r="V445" i="1"/>
  <c r="T445" i="1"/>
  <c r="R445" i="1"/>
  <c r="CW444" i="1"/>
  <c r="CV444" i="1"/>
  <c r="CT444" i="1"/>
  <c r="CR444" i="1"/>
  <c r="CN444" i="1"/>
  <c r="CL444" i="1"/>
  <c r="CH444" i="1"/>
  <c r="CF444" i="1"/>
  <c r="CD444" i="1"/>
  <c r="CB444" i="1"/>
  <c r="BZ444" i="1"/>
  <c r="BX444" i="1"/>
  <c r="BV444" i="1"/>
  <c r="BT444" i="1"/>
  <c r="BR444" i="1"/>
  <c r="BP444" i="1"/>
  <c r="BN444" i="1"/>
  <c r="BL444" i="1"/>
  <c r="BJ444" i="1"/>
  <c r="BH444" i="1"/>
  <c r="BF444" i="1"/>
  <c r="BD444" i="1"/>
  <c r="BB444" i="1"/>
  <c r="AZ444" i="1"/>
  <c r="AX444" i="1"/>
  <c r="AV444" i="1"/>
  <c r="AT444" i="1"/>
  <c r="AP444" i="1"/>
  <c r="AN444" i="1"/>
  <c r="AL444" i="1"/>
  <c r="AJ444" i="1"/>
  <c r="AH444" i="1"/>
  <c r="AF444" i="1"/>
  <c r="AB444" i="1"/>
  <c r="Z444" i="1"/>
  <c r="X444" i="1"/>
  <c r="V444" i="1"/>
  <c r="T444" i="1"/>
  <c r="R444" i="1"/>
  <c r="CW443" i="1"/>
  <c r="CV443" i="1"/>
  <c r="CT443" i="1"/>
  <c r="CR443" i="1"/>
  <c r="CN443" i="1"/>
  <c r="CL443" i="1"/>
  <c r="CH443" i="1"/>
  <c r="CF443" i="1"/>
  <c r="CD443" i="1"/>
  <c r="CB443" i="1"/>
  <c r="BZ443" i="1"/>
  <c r="BX443" i="1"/>
  <c r="BV443" i="1"/>
  <c r="BT443" i="1"/>
  <c r="BR443" i="1"/>
  <c r="BP443" i="1"/>
  <c r="BN443" i="1"/>
  <c r="BL443" i="1"/>
  <c r="BJ443" i="1"/>
  <c r="BH443" i="1"/>
  <c r="BF443" i="1"/>
  <c r="BD443" i="1"/>
  <c r="BB443" i="1"/>
  <c r="AZ443" i="1"/>
  <c r="AX443" i="1"/>
  <c r="AV443" i="1"/>
  <c r="AT443" i="1"/>
  <c r="AP443" i="1"/>
  <c r="AN443" i="1"/>
  <c r="AL443" i="1"/>
  <c r="AJ443" i="1"/>
  <c r="AH443" i="1"/>
  <c r="AF443" i="1"/>
  <c r="AB443" i="1"/>
  <c r="Z443" i="1"/>
  <c r="X443" i="1"/>
  <c r="V443" i="1"/>
  <c r="T443" i="1"/>
  <c r="R443" i="1"/>
  <c r="CW442" i="1"/>
  <c r="CV442" i="1"/>
  <c r="CT442" i="1"/>
  <c r="CR442" i="1"/>
  <c r="CN442" i="1"/>
  <c r="CL442" i="1"/>
  <c r="CH442" i="1"/>
  <c r="CF442" i="1"/>
  <c r="CD442" i="1"/>
  <c r="CB442" i="1"/>
  <c r="BZ442" i="1"/>
  <c r="BX442" i="1"/>
  <c r="BV442" i="1"/>
  <c r="BT442" i="1"/>
  <c r="BR442" i="1"/>
  <c r="BP442" i="1"/>
  <c r="BN442" i="1"/>
  <c r="BL442" i="1"/>
  <c r="BJ442" i="1"/>
  <c r="BH442" i="1"/>
  <c r="BF442" i="1"/>
  <c r="BD442" i="1"/>
  <c r="BB442" i="1"/>
  <c r="AZ442" i="1"/>
  <c r="AX442" i="1"/>
  <c r="AV442" i="1"/>
  <c r="AT442" i="1"/>
  <c r="AP442" i="1"/>
  <c r="AN442" i="1"/>
  <c r="AL442" i="1"/>
  <c r="AJ442" i="1"/>
  <c r="AH442" i="1"/>
  <c r="AF442" i="1"/>
  <c r="AB442" i="1"/>
  <c r="Z442" i="1"/>
  <c r="X442" i="1"/>
  <c r="V442" i="1"/>
  <c r="T442" i="1"/>
  <c r="R442" i="1"/>
  <c r="CW441" i="1"/>
  <c r="CV441" i="1"/>
  <c r="CT441" i="1"/>
  <c r="CR441" i="1"/>
  <c r="CN441" i="1"/>
  <c r="CL441" i="1"/>
  <c r="CH441" i="1"/>
  <c r="CF441" i="1"/>
  <c r="CD441" i="1"/>
  <c r="CB441" i="1"/>
  <c r="BZ441" i="1"/>
  <c r="BX441" i="1"/>
  <c r="BV441" i="1"/>
  <c r="BT441" i="1"/>
  <c r="BR441" i="1"/>
  <c r="BP441" i="1"/>
  <c r="BN441" i="1"/>
  <c r="BL441" i="1"/>
  <c r="BJ441" i="1"/>
  <c r="BH441" i="1"/>
  <c r="BF441" i="1"/>
  <c r="BD441" i="1"/>
  <c r="BB441" i="1"/>
  <c r="AZ441" i="1"/>
  <c r="AX441" i="1"/>
  <c r="AV441" i="1"/>
  <c r="AT441" i="1"/>
  <c r="AP441" i="1"/>
  <c r="AN441" i="1"/>
  <c r="AL441" i="1"/>
  <c r="AJ441" i="1"/>
  <c r="AH441" i="1"/>
  <c r="AF441" i="1"/>
  <c r="AB441" i="1"/>
  <c r="Z441" i="1"/>
  <c r="X441" i="1"/>
  <c r="V441" i="1"/>
  <c r="T441" i="1"/>
  <c r="R441" i="1"/>
  <c r="CV440" i="1"/>
  <c r="CT440" i="1"/>
  <c r="CR440" i="1"/>
  <c r="CN440" i="1"/>
  <c r="CL440" i="1"/>
  <c r="CH440" i="1"/>
  <c r="CF440" i="1"/>
  <c r="CD440" i="1"/>
  <c r="CB440" i="1"/>
  <c r="BZ440" i="1"/>
  <c r="BX440" i="1"/>
  <c r="BV440" i="1"/>
  <c r="BT440" i="1"/>
  <c r="BR440" i="1"/>
  <c r="BP440" i="1"/>
  <c r="BN440" i="1"/>
  <c r="BL440" i="1"/>
  <c r="BJ440" i="1"/>
  <c r="BH440" i="1"/>
  <c r="BF440" i="1"/>
  <c r="BD440" i="1"/>
  <c r="BB440" i="1"/>
  <c r="AZ440" i="1"/>
  <c r="AX440" i="1"/>
  <c r="AV440" i="1"/>
  <c r="AT440" i="1"/>
  <c r="AP440" i="1"/>
  <c r="AN440" i="1"/>
  <c r="AL440" i="1"/>
  <c r="AJ440" i="1"/>
  <c r="AH440" i="1"/>
  <c r="AF440" i="1"/>
  <c r="AB440" i="1"/>
  <c r="Z440" i="1"/>
  <c r="X440" i="1"/>
  <c r="V440" i="1"/>
  <c r="S440" i="1"/>
  <c r="T440" i="1" s="1"/>
  <c r="R440" i="1"/>
  <c r="CT439" i="1"/>
  <c r="CR439" i="1"/>
  <c r="CN439" i="1"/>
  <c r="CL439" i="1"/>
  <c r="CH439" i="1"/>
  <c r="CF439" i="1"/>
  <c r="CD439" i="1"/>
  <c r="CB439" i="1"/>
  <c r="BZ439" i="1"/>
  <c r="BX439" i="1"/>
  <c r="BV439" i="1"/>
  <c r="BT439" i="1"/>
  <c r="BR439" i="1"/>
  <c r="BP439" i="1"/>
  <c r="BN439" i="1"/>
  <c r="BL439" i="1"/>
  <c r="BJ439" i="1"/>
  <c r="BH439" i="1"/>
  <c r="BF439" i="1"/>
  <c r="BB439" i="1"/>
  <c r="AZ439" i="1"/>
  <c r="AX439" i="1"/>
  <c r="AP439" i="1"/>
  <c r="AN439" i="1"/>
  <c r="AK439" i="1"/>
  <c r="AK437" i="1" s="1"/>
  <c r="AJ439" i="1"/>
  <c r="AH439" i="1"/>
  <c r="AF439" i="1"/>
  <c r="AB439" i="1"/>
  <c r="Z439" i="1"/>
  <c r="X439" i="1"/>
  <c r="V439" i="1"/>
  <c r="T439" i="1"/>
  <c r="R439" i="1"/>
  <c r="CW438" i="1"/>
  <c r="CT438" i="1"/>
  <c r="CR438" i="1"/>
  <c r="CN438" i="1"/>
  <c r="CL438" i="1"/>
  <c r="CH438" i="1"/>
  <c r="CF438" i="1"/>
  <c r="CD438" i="1"/>
  <c r="CB438" i="1"/>
  <c r="BZ438" i="1"/>
  <c r="BX438" i="1"/>
  <c r="BV438" i="1"/>
  <c r="BT438" i="1"/>
  <c r="BR438" i="1"/>
  <c r="BP438" i="1"/>
  <c r="BN438" i="1"/>
  <c r="BL438" i="1"/>
  <c r="BJ438" i="1"/>
  <c r="BH438" i="1"/>
  <c r="BF438" i="1"/>
  <c r="BB438" i="1"/>
  <c r="AZ438" i="1"/>
  <c r="AX438" i="1"/>
  <c r="AP438" i="1"/>
  <c r="AN438" i="1"/>
  <c r="AL438" i="1"/>
  <c r="AJ438" i="1"/>
  <c r="AH438" i="1"/>
  <c r="AF438" i="1"/>
  <c r="AB438" i="1"/>
  <c r="Z438" i="1"/>
  <c r="X438" i="1"/>
  <c r="V438" i="1"/>
  <c r="T438" i="1"/>
  <c r="R438" i="1"/>
  <c r="CU437" i="1"/>
  <c r="CS437" i="1"/>
  <c r="CQ437" i="1"/>
  <c r="CP437" i="1"/>
  <c r="CO437" i="1"/>
  <c r="CM437" i="1"/>
  <c r="CK437" i="1"/>
  <c r="CJ437" i="1"/>
  <c r="CI437" i="1"/>
  <c r="CG437" i="1"/>
  <c r="CE437" i="1"/>
  <c r="CC437" i="1"/>
  <c r="CA437" i="1"/>
  <c r="BY437" i="1"/>
  <c r="BW437" i="1"/>
  <c r="BU437" i="1"/>
  <c r="BS437" i="1"/>
  <c r="BQ437" i="1"/>
  <c r="BO437" i="1"/>
  <c r="BM437" i="1"/>
  <c r="BK437" i="1"/>
  <c r="BI437" i="1"/>
  <c r="BG437" i="1"/>
  <c r="BE437" i="1"/>
  <c r="BC437" i="1"/>
  <c r="BA437" i="1"/>
  <c r="AY437" i="1"/>
  <c r="AW437" i="1"/>
  <c r="AU437" i="1"/>
  <c r="AS437" i="1"/>
  <c r="AO437" i="1"/>
  <c r="AM437" i="1"/>
  <c r="AI437" i="1"/>
  <c r="AG437" i="1"/>
  <c r="AE437" i="1"/>
  <c r="AD437" i="1"/>
  <c r="AC437" i="1"/>
  <c r="AA437" i="1"/>
  <c r="Y437" i="1"/>
  <c r="W437" i="1"/>
  <c r="U437" i="1"/>
  <c r="Q437" i="1"/>
  <c r="CW436" i="1"/>
  <c r="CV436" i="1"/>
  <c r="CT436" i="1"/>
  <c r="CR436" i="1"/>
  <c r="CP436" i="1"/>
  <c r="CN436" i="1"/>
  <c r="CL436" i="1"/>
  <c r="CH436" i="1"/>
  <c r="CF436" i="1"/>
  <c r="CD436" i="1"/>
  <c r="CB436" i="1"/>
  <c r="BZ436" i="1"/>
  <c r="BX436" i="1"/>
  <c r="BV436" i="1"/>
  <c r="BT436" i="1"/>
  <c r="BR436" i="1"/>
  <c r="BP436" i="1"/>
  <c r="BN436" i="1"/>
  <c r="BL436" i="1"/>
  <c r="BJ436" i="1"/>
  <c r="BH436" i="1"/>
  <c r="BF436" i="1"/>
  <c r="BD436" i="1"/>
  <c r="BB436" i="1"/>
  <c r="AZ436" i="1"/>
  <c r="AX436" i="1"/>
  <c r="AV436" i="1"/>
  <c r="AT436" i="1"/>
  <c r="AP436" i="1"/>
  <c r="AN436" i="1"/>
  <c r="AL436" i="1"/>
  <c r="AJ436" i="1"/>
  <c r="AH436" i="1"/>
  <c r="AF436" i="1"/>
  <c r="AB436" i="1"/>
  <c r="Z436" i="1"/>
  <c r="X436" i="1"/>
  <c r="V436" i="1"/>
  <c r="T436" i="1"/>
  <c r="R436" i="1"/>
  <c r="CW435" i="1"/>
  <c r="CV435" i="1"/>
  <c r="CT435" i="1"/>
  <c r="CR435" i="1"/>
  <c r="CP435" i="1"/>
  <c r="CN435" i="1"/>
  <c r="CL435" i="1"/>
  <c r="CH435" i="1"/>
  <c r="CF435" i="1"/>
  <c r="CD435" i="1"/>
  <c r="CB435" i="1"/>
  <c r="BZ435" i="1"/>
  <c r="BX435" i="1"/>
  <c r="BV435" i="1"/>
  <c r="BT435" i="1"/>
  <c r="BR435" i="1"/>
  <c r="BP435" i="1"/>
  <c r="BN435" i="1"/>
  <c r="BL435" i="1"/>
  <c r="BJ435" i="1"/>
  <c r="BH435" i="1"/>
  <c r="BF435" i="1"/>
  <c r="BD435" i="1"/>
  <c r="BB435" i="1"/>
  <c r="AZ435" i="1"/>
  <c r="AX435" i="1"/>
  <c r="AV435" i="1"/>
  <c r="AT435" i="1"/>
  <c r="AP435" i="1"/>
  <c r="AN435" i="1"/>
  <c r="AL435" i="1"/>
  <c r="AJ435" i="1"/>
  <c r="AH435" i="1"/>
  <c r="AF435" i="1"/>
  <c r="AB435" i="1"/>
  <c r="Z435" i="1"/>
  <c r="X435" i="1"/>
  <c r="V435" i="1"/>
  <c r="T435" i="1"/>
  <c r="R435" i="1"/>
  <c r="CW434" i="1"/>
  <c r="CV434" i="1"/>
  <c r="CT434" i="1"/>
  <c r="CR434" i="1"/>
  <c r="CP434" i="1"/>
  <c r="CN434" i="1"/>
  <c r="CL434" i="1"/>
  <c r="CH434" i="1"/>
  <c r="CF434" i="1"/>
  <c r="CD434" i="1"/>
  <c r="CB434" i="1"/>
  <c r="BZ434" i="1"/>
  <c r="BX434" i="1"/>
  <c r="BV434" i="1"/>
  <c r="BT434" i="1"/>
  <c r="BR434" i="1"/>
  <c r="BP434" i="1"/>
  <c r="BN434" i="1"/>
  <c r="BL434" i="1"/>
  <c r="BJ434" i="1"/>
  <c r="BH434" i="1"/>
  <c r="BF434" i="1"/>
  <c r="BD434" i="1"/>
  <c r="BB434" i="1"/>
  <c r="AZ434" i="1"/>
  <c r="AX434" i="1"/>
  <c r="AV434" i="1"/>
  <c r="AT434" i="1"/>
  <c r="AP434" i="1"/>
  <c r="AN434" i="1"/>
  <c r="AL434" i="1"/>
  <c r="AJ434" i="1"/>
  <c r="AH434" i="1"/>
  <c r="AF434" i="1"/>
  <c r="AB434" i="1"/>
  <c r="Z434" i="1"/>
  <c r="X434" i="1"/>
  <c r="V434" i="1"/>
  <c r="T434" i="1"/>
  <c r="R434" i="1"/>
  <c r="CV433" i="1"/>
  <c r="CT433" i="1"/>
  <c r="CR433" i="1"/>
  <c r="CP433" i="1"/>
  <c r="CN433" i="1"/>
  <c r="CL433" i="1"/>
  <c r="CH433" i="1"/>
  <c r="CF433" i="1"/>
  <c r="CD433" i="1"/>
  <c r="CB433" i="1"/>
  <c r="BZ433" i="1"/>
  <c r="BX433" i="1"/>
  <c r="BV433" i="1"/>
  <c r="BT433" i="1"/>
  <c r="BR433" i="1"/>
  <c r="BP433" i="1"/>
  <c r="BN433" i="1"/>
  <c r="BL433" i="1"/>
  <c r="BJ433" i="1"/>
  <c r="BH433" i="1"/>
  <c r="BF433" i="1"/>
  <c r="BD433" i="1"/>
  <c r="BB433" i="1"/>
  <c r="AZ433" i="1"/>
  <c r="AX433" i="1"/>
  <c r="AV433" i="1"/>
  <c r="AT433" i="1"/>
  <c r="AP433" i="1"/>
  <c r="AN433" i="1"/>
  <c r="AK433" i="1"/>
  <c r="CW433" i="1" s="1"/>
  <c r="AJ433" i="1"/>
  <c r="AH433" i="1"/>
  <c r="AF433" i="1"/>
  <c r="AB433" i="1"/>
  <c r="Z433" i="1"/>
  <c r="X433" i="1"/>
  <c r="V433" i="1"/>
  <c r="T433" i="1"/>
  <c r="R433" i="1"/>
  <c r="CW432" i="1"/>
  <c r="CT432" i="1"/>
  <c r="CR432" i="1"/>
  <c r="CP432" i="1"/>
  <c r="CN432" i="1"/>
  <c r="CL432" i="1"/>
  <c r="CH432" i="1"/>
  <c r="CF432" i="1"/>
  <c r="CD432" i="1"/>
  <c r="CB432" i="1"/>
  <c r="BZ432" i="1"/>
  <c r="BX432" i="1"/>
  <c r="BV432" i="1"/>
  <c r="BT432" i="1"/>
  <c r="BR432" i="1"/>
  <c r="BP432" i="1"/>
  <c r="BN432" i="1"/>
  <c r="BL432" i="1"/>
  <c r="BJ432" i="1"/>
  <c r="BH432" i="1"/>
  <c r="BF432" i="1"/>
  <c r="BB432" i="1"/>
  <c r="AZ432" i="1"/>
  <c r="AX432" i="1"/>
  <c r="AP432" i="1"/>
  <c r="AN432" i="1"/>
  <c r="AL432" i="1"/>
  <c r="AJ432" i="1"/>
  <c r="AH432" i="1"/>
  <c r="AF432" i="1"/>
  <c r="AB432" i="1"/>
  <c r="Z432" i="1"/>
  <c r="X432" i="1"/>
  <c r="V432" i="1"/>
  <c r="T432" i="1"/>
  <c r="R432" i="1"/>
  <c r="CU431" i="1"/>
  <c r="CS431" i="1"/>
  <c r="CQ431" i="1"/>
  <c r="CO431" i="1"/>
  <c r="CM431" i="1"/>
  <c r="CK431" i="1"/>
  <c r="CJ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O431" i="1"/>
  <c r="AM431" i="1"/>
  <c r="AI431" i="1"/>
  <c r="AG431" i="1"/>
  <c r="AE431" i="1"/>
  <c r="AD431" i="1"/>
  <c r="AC431" i="1"/>
  <c r="AA431" i="1"/>
  <c r="Y431" i="1"/>
  <c r="W431" i="1"/>
  <c r="U431" i="1"/>
  <c r="S431" i="1"/>
  <c r="Q431" i="1"/>
  <c r="CW430" i="1"/>
  <c r="CT430" i="1"/>
  <c r="CR430" i="1"/>
  <c r="CP430" i="1"/>
  <c r="CN430" i="1"/>
  <c r="CL430" i="1"/>
  <c r="CH430" i="1"/>
  <c r="CF430" i="1"/>
  <c r="CD430" i="1"/>
  <c r="CB430" i="1"/>
  <c r="BZ430" i="1"/>
  <c r="BX430" i="1"/>
  <c r="BV430" i="1"/>
  <c r="BT430" i="1"/>
  <c r="BR430" i="1"/>
  <c r="BP430" i="1"/>
  <c r="BN430" i="1"/>
  <c r="BL430" i="1"/>
  <c r="BJ430" i="1"/>
  <c r="BH430" i="1"/>
  <c r="BF430" i="1"/>
  <c r="BB430" i="1"/>
  <c r="AZ430" i="1"/>
  <c r="AX430" i="1"/>
  <c r="AP430" i="1"/>
  <c r="AN430" i="1"/>
  <c r="AL430" i="1"/>
  <c r="AJ430" i="1"/>
  <c r="AH430" i="1"/>
  <c r="AF430" i="1"/>
  <c r="AB430" i="1"/>
  <c r="Z430" i="1"/>
  <c r="X430" i="1"/>
  <c r="V430" i="1"/>
  <c r="T430" i="1"/>
  <c r="R430" i="1"/>
  <c r="CW429" i="1"/>
  <c r="CT429" i="1"/>
  <c r="CR429" i="1"/>
  <c r="CP429" i="1"/>
  <c r="CN429" i="1"/>
  <c r="CL429" i="1"/>
  <c r="CH429" i="1"/>
  <c r="CF429" i="1"/>
  <c r="CD429" i="1"/>
  <c r="CB429" i="1"/>
  <c r="BZ429" i="1"/>
  <c r="BX429" i="1"/>
  <c r="BV429" i="1"/>
  <c r="BT429" i="1"/>
  <c r="BR429" i="1"/>
  <c r="BP429" i="1"/>
  <c r="BN429" i="1"/>
  <c r="BL429" i="1"/>
  <c r="BJ429" i="1"/>
  <c r="BH429" i="1"/>
  <c r="BF429" i="1"/>
  <c r="BB429" i="1"/>
  <c r="AZ429" i="1"/>
  <c r="AX429" i="1"/>
  <c r="AP429" i="1"/>
  <c r="AN429" i="1"/>
  <c r="AL429" i="1"/>
  <c r="AJ429" i="1"/>
  <c r="AH429" i="1"/>
  <c r="AF429" i="1"/>
  <c r="AB429" i="1"/>
  <c r="Z429" i="1"/>
  <c r="X429" i="1"/>
  <c r="V429" i="1"/>
  <c r="T429" i="1"/>
  <c r="R429" i="1"/>
  <c r="CW428" i="1"/>
  <c r="CT428" i="1"/>
  <c r="CR428" i="1"/>
  <c r="CP428" i="1"/>
  <c r="CN428" i="1"/>
  <c r="CL428" i="1"/>
  <c r="CH428" i="1"/>
  <c r="CF428" i="1"/>
  <c r="CD428" i="1"/>
  <c r="CB428" i="1"/>
  <c r="BZ428" i="1"/>
  <c r="BX428" i="1"/>
  <c r="BV428" i="1"/>
  <c r="BT428" i="1"/>
  <c r="BR428" i="1"/>
  <c r="BP428" i="1"/>
  <c r="BN428" i="1"/>
  <c r="BL428" i="1"/>
  <c r="BJ428" i="1"/>
  <c r="BH428" i="1"/>
  <c r="BF428" i="1"/>
  <c r="BB428" i="1"/>
  <c r="AZ428" i="1"/>
  <c r="AX428" i="1"/>
  <c r="AP428" i="1"/>
  <c r="AN428" i="1"/>
  <c r="AL428" i="1"/>
  <c r="AJ428" i="1"/>
  <c r="AH428" i="1"/>
  <c r="AF428" i="1"/>
  <c r="AB428" i="1"/>
  <c r="Z428" i="1"/>
  <c r="X428" i="1"/>
  <c r="V428" i="1"/>
  <c r="T428" i="1"/>
  <c r="R428" i="1"/>
  <c r="CW427" i="1"/>
  <c r="CT427" i="1"/>
  <c r="CR427" i="1"/>
  <c r="CP427" i="1"/>
  <c r="CN427" i="1"/>
  <c r="CL427" i="1"/>
  <c r="CH427" i="1"/>
  <c r="CF427" i="1"/>
  <c r="CD427" i="1"/>
  <c r="CB427" i="1"/>
  <c r="BZ427" i="1"/>
  <c r="BX427" i="1"/>
  <c r="BV427" i="1"/>
  <c r="BT427" i="1"/>
  <c r="BR427" i="1"/>
  <c r="BP427" i="1"/>
  <c r="BN427" i="1"/>
  <c r="BL427" i="1"/>
  <c r="BJ427" i="1"/>
  <c r="BH427" i="1"/>
  <c r="BF427" i="1"/>
  <c r="BB427" i="1"/>
  <c r="AZ427" i="1"/>
  <c r="AX427" i="1"/>
  <c r="AP427" i="1"/>
  <c r="AN427" i="1"/>
  <c r="AL427" i="1"/>
  <c r="AJ427" i="1"/>
  <c r="AH427" i="1"/>
  <c r="AF427" i="1"/>
  <c r="AB427" i="1"/>
  <c r="Z427" i="1"/>
  <c r="X427" i="1"/>
  <c r="V427" i="1"/>
  <c r="T427" i="1"/>
  <c r="R427" i="1"/>
  <c r="CW426" i="1"/>
  <c r="CV426" i="1"/>
  <c r="CT426" i="1"/>
  <c r="CR426" i="1"/>
  <c r="CP426" i="1"/>
  <c r="CN426" i="1"/>
  <c r="CL426" i="1"/>
  <c r="CH426" i="1"/>
  <c r="CF426" i="1"/>
  <c r="CD426" i="1"/>
  <c r="CB426" i="1"/>
  <c r="BZ426" i="1"/>
  <c r="BX426" i="1"/>
  <c r="BV426" i="1"/>
  <c r="BT426" i="1"/>
  <c r="BR426" i="1"/>
  <c r="BP426" i="1"/>
  <c r="BN426" i="1"/>
  <c r="BL426" i="1"/>
  <c r="BJ426" i="1"/>
  <c r="BH426" i="1"/>
  <c r="BF426" i="1"/>
  <c r="BD426" i="1"/>
  <c r="BB426" i="1"/>
  <c r="AZ426" i="1"/>
  <c r="AX426" i="1"/>
  <c r="AV426" i="1"/>
  <c r="AT426" i="1"/>
  <c r="AP426" i="1"/>
  <c r="AN426" i="1"/>
  <c r="AL426" i="1"/>
  <c r="AJ426" i="1"/>
  <c r="AH426" i="1"/>
  <c r="AF426" i="1"/>
  <c r="AB426" i="1"/>
  <c r="Z426" i="1"/>
  <c r="X426" i="1"/>
  <c r="V426" i="1"/>
  <c r="T426" i="1"/>
  <c r="R426" i="1"/>
  <c r="CW425" i="1"/>
  <c r="CV425" i="1"/>
  <c r="CT425" i="1"/>
  <c r="CR425" i="1"/>
  <c r="CN425" i="1"/>
  <c r="CL425" i="1"/>
  <c r="CH425" i="1"/>
  <c r="CF425" i="1"/>
  <c r="CD425" i="1"/>
  <c r="CB425" i="1"/>
  <c r="BZ425" i="1"/>
  <c r="BX425" i="1"/>
  <c r="BV425" i="1"/>
  <c r="BT425" i="1"/>
  <c r="BR425" i="1"/>
  <c r="BP425" i="1"/>
  <c r="BN425" i="1"/>
  <c r="BL425" i="1"/>
  <c r="BJ425" i="1"/>
  <c r="BH425" i="1"/>
  <c r="BF425" i="1"/>
  <c r="BD425" i="1"/>
  <c r="BB425" i="1"/>
  <c r="AZ425" i="1"/>
  <c r="AX425" i="1"/>
  <c r="AV425" i="1"/>
  <c r="AT425" i="1"/>
  <c r="AP425" i="1"/>
  <c r="AN425" i="1"/>
  <c r="AL425" i="1"/>
  <c r="AJ425" i="1"/>
  <c r="AH425" i="1"/>
  <c r="AF425" i="1"/>
  <c r="AB425" i="1"/>
  <c r="Z425" i="1"/>
  <c r="X425" i="1"/>
  <c r="V425" i="1"/>
  <c r="T425" i="1"/>
  <c r="R425" i="1"/>
  <c r="CV424" i="1"/>
  <c r="CT424" i="1"/>
  <c r="CR424" i="1"/>
  <c r="CP424" i="1"/>
  <c r="CN424" i="1"/>
  <c r="CL424" i="1"/>
  <c r="CH424" i="1"/>
  <c r="CF424" i="1"/>
  <c r="CD424" i="1"/>
  <c r="CB424" i="1"/>
  <c r="BZ424" i="1"/>
  <c r="BX424" i="1"/>
  <c r="BV424" i="1"/>
  <c r="BT424" i="1"/>
  <c r="BR424" i="1"/>
  <c r="BP424" i="1"/>
  <c r="BN424" i="1"/>
  <c r="BL424" i="1"/>
  <c r="BJ424" i="1"/>
  <c r="BH424" i="1"/>
  <c r="BF424" i="1"/>
  <c r="BD424" i="1"/>
  <c r="BB424" i="1"/>
  <c r="AZ424" i="1"/>
  <c r="AX424" i="1"/>
  <c r="AV424" i="1"/>
  <c r="AT424" i="1"/>
  <c r="AP424" i="1"/>
  <c r="AN424" i="1"/>
  <c r="AK424" i="1"/>
  <c r="AK422" i="1" s="1"/>
  <c r="AJ424" i="1"/>
  <c r="AH424" i="1"/>
  <c r="AF424" i="1"/>
  <c r="AB424" i="1"/>
  <c r="Z424" i="1"/>
  <c r="X424" i="1"/>
  <c r="V424" i="1"/>
  <c r="T424" i="1"/>
  <c r="R424" i="1"/>
  <c r="CW423" i="1"/>
  <c r="CV423" i="1"/>
  <c r="CT423" i="1"/>
  <c r="CR423" i="1"/>
  <c r="CP423" i="1"/>
  <c r="CN423" i="1"/>
  <c r="CL423" i="1"/>
  <c r="CH423" i="1"/>
  <c r="CF423" i="1"/>
  <c r="CD423" i="1"/>
  <c r="CB423" i="1"/>
  <c r="BZ423" i="1"/>
  <c r="BX423" i="1"/>
  <c r="BV423" i="1"/>
  <c r="BT423" i="1"/>
  <c r="BR423" i="1"/>
  <c r="BP423" i="1"/>
  <c r="BN423" i="1"/>
  <c r="BL423" i="1"/>
  <c r="BJ423" i="1"/>
  <c r="BH423" i="1"/>
  <c r="BF423" i="1"/>
  <c r="BD423" i="1"/>
  <c r="BB423" i="1"/>
  <c r="AZ423" i="1"/>
  <c r="AX423" i="1"/>
  <c r="AV423" i="1"/>
  <c r="AT423" i="1"/>
  <c r="AP423" i="1"/>
  <c r="AN423" i="1"/>
  <c r="AL423" i="1"/>
  <c r="AJ423" i="1"/>
  <c r="AH423" i="1"/>
  <c r="AF423" i="1"/>
  <c r="AB423" i="1"/>
  <c r="Z423" i="1"/>
  <c r="X423" i="1"/>
  <c r="V423" i="1"/>
  <c r="T423" i="1"/>
  <c r="R423" i="1"/>
  <c r="CU422" i="1"/>
  <c r="CS422" i="1"/>
  <c r="CQ422" i="1"/>
  <c r="CO422" i="1"/>
  <c r="CM422" i="1"/>
  <c r="CK422" i="1"/>
  <c r="CJ422" i="1"/>
  <c r="CI422" i="1"/>
  <c r="CG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G422" i="1"/>
  <c r="BE422" i="1"/>
  <c r="BC422" i="1"/>
  <c r="BA422" i="1"/>
  <c r="AY422" i="1"/>
  <c r="AW422" i="1"/>
  <c r="AU422" i="1"/>
  <c r="AS422" i="1"/>
  <c r="AO422" i="1"/>
  <c r="AM422" i="1"/>
  <c r="AI422" i="1"/>
  <c r="AG422" i="1"/>
  <c r="AE422" i="1"/>
  <c r="AD422" i="1"/>
  <c r="AC422" i="1"/>
  <c r="AA422" i="1"/>
  <c r="Y422" i="1"/>
  <c r="W422" i="1"/>
  <c r="U422" i="1"/>
  <c r="S422" i="1"/>
  <c r="Q422" i="1"/>
  <c r="CW421" i="1"/>
  <c r="CT421" i="1"/>
  <c r="CR421" i="1"/>
  <c r="CP421" i="1"/>
  <c r="CN421" i="1"/>
  <c r="CH421" i="1"/>
  <c r="CF421" i="1"/>
  <c r="CD421" i="1"/>
  <c r="CB421" i="1"/>
  <c r="BZ421" i="1"/>
  <c r="BX421" i="1"/>
  <c r="BT421" i="1"/>
  <c r="BR421" i="1"/>
  <c r="BP421" i="1"/>
  <c r="BN421" i="1"/>
  <c r="BL421" i="1"/>
  <c r="BJ421" i="1"/>
  <c r="BH421" i="1"/>
  <c r="BF421" i="1"/>
  <c r="BD421" i="1"/>
  <c r="BB421" i="1"/>
  <c r="AZ421" i="1"/>
  <c r="AX421" i="1"/>
  <c r="AP421" i="1"/>
  <c r="AN421" i="1"/>
  <c r="AL421" i="1"/>
  <c r="AJ421" i="1"/>
  <c r="AH421" i="1"/>
  <c r="AF421" i="1"/>
  <c r="AB421" i="1"/>
  <c r="Z421" i="1"/>
  <c r="X421" i="1"/>
  <c r="V421" i="1"/>
  <c r="T421" i="1"/>
  <c r="R421" i="1"/>
  <c r="CW420" i="1"/>
  <c r="CT420" i="1"/>
  <c r="CR420" i="1"/>
  <c r="CP420" i="1"/>
  <c r="CN420" i="1"/>
  <c r="CH420" i="1"/>
  <c r="CF420" i="1"/>
  <c r="CD420" i="1"/>
  <c r="CB420" i="1"/>
  <c r="BZ420" i="1"/>
  <c r="BX420" i="1"/>
  <c r="BT420" i="1"/>
  <c r="BR420" i="1"/>
  <c r="BP420" i="1"/>
  <c r="BN420" i="1"/>
  <c r="BL420" i="1"/>
  <c r="BJ420" i="1"/>
  <c r="BH420" i="1"/>
  <c r="BF420" i="1"/>
  <c r="BD420" i="1"/>
  <c r="BB420" i="1"/>
  <c r="AZ420" i="1"/>
  <c r="AX420" i="1"/>
  <c r="AP420" i="1"/>
  <c r="AN420" i="1"/>
  <c r="AL420" i="1"/>
  <c r="AJ420" i="1"/>
  <c r="AH420" i="1"/>
  <c r="AF420" i="1"/>
  <c r="AB420" i="1"/>
  <c r="Z420" i="1"/>
  <c r="X420" i="1"/>
  <c r="V420" i="1"/>
  <c r="T420" i="1"/>
  <c r="R420" i="1"/>
  <c r="CW419" i="1"/>
  <c r="CT419" i="1"/>
  <c r="CR419" i="1"/>
  <c r="CP419" i="1"/>
  <c r="CN419" i="1"/>
  <c r="CL419" i="1"/>
  <c r="CH419" i="1"/>
  <c r="CF419" i="1"/>
  <c r="CD419" i="1"/>
  <c r="CB419" i="1"/>
  <c r="BZ419" i="1"/>
  <c r="BX419" i="1"/>
  <c r="BV419" i="1"/>
  <c r="BT419" i="1"/>
  <c r="BR419" i="1"/>
  <c r="BP419" i="1"/>
  <c r="BN419" i="1"/>
  <c r="BL419" i="1"/>
  <c r="BJ419" i="1"/>
  <c r="BH419" i="1"/>
  <c r="BF419" i="1"/>
  <c r="BB419" i="1"/>
  <c r="AZ419" i="1"/>
  <c r="AX419" i="1"/>
  <c r="AP419" i="1"/>
  <c r="AN419" i="1"/>
  <c r="AL419" i="1"/>
  <c r="AJ419" i="1"/>
  <c r="AH419" i="1"/>
  <c r="AF419" i="1"/>
  <c r="AB419" i="1"/>
  <c r="Z419" i="1"/>
  <c r="X419" i="1"/>
  <c r="V419" i="1"/>
  <c r="T419" i="1"/>
  <c r="R419" i="1"/>
  <c r="CT418" i="1"/>
  <c r="CR418" i="1"/>
  <c r="CP418" i="1"/>
  <c r="CN418" i="1"/>
  <c r="CL418" i="1"/>
  <c r="CH418" i="1"/>
  <c r="CF418" i="1"/>
  <c r="CD418" i="1"/>
  <c r="CB418" i="1"/>
  <c r="BZ418" i="1"/>
  <c r="BX418" i="1"/>
  <c r="BV418" i="1"/>
  <c r="BT418" i="1"/>
  <c r="BR418" i="1"/>
  <c r="BP418" i="1"/>
  <c r="BN418" i="1"/>
  <c r="BL418" i="1"/>
  <c r="BJ418" i="1"/>
  <c r="BH418" i="1"/>
  <c r="BF418" i="1"/>
  <c r="BB418" i="1"/>
  <c r="AZ418" i="1"/>
  <c r="AX418" i="1"/>
  <c r="AP418" i="1"/>
  <c r="AN418" i="1"/>
  <c r="AL418" i="1"/>
  <c r="AJ418" i="1"/>
  <c r="AG418" i="1"/>
  <c r="AH418" i="1" s="1"/>
  <c r="AF418" i="1"/>
  <c r="AE418" i="1"/>
  <c r="AB418" i="1"/>
  <c r="Z418" i="1"/>
  <c r="X418" i="1"/>
  <c r="V418" i="1"/>
  <c r="T418" i="1"/>
  <c r="R418" i="1"/>
  <c r="CT417" i="1"/>
  <c r="CR417" i="1"/>
  <c r="CP417" i="1"/>
  <c r="CN417" i="1"/>
  <c r="CL417" i="1"/>
  <c r="CH417" i="1"/>
  <c r="CF417" i="1"/>
  <c r="CD417" i="1"/>
  <c r="CB417" i="1"/>
  <c r="BZ417" i="1"/>
  <c r="BX417" i="1"/>
  <c r="BV417" i="1"/>
  <c r="BT417" i="1"/>
  <c r="BR417" i="1"/>
  <c r="BP417" i="1"/>
  <c r="BN417" i="1"/>
  <c r="BL417" i="1"/>
  <c r="BJ417" i="1"/>
  <c r="BH417" i="1"/>
  <c r="BF417" i="1"/>
  <c r="BB417" i="1"/>
  <c r="AZ417" i="1"/>
  <c r="AX417" i="1"/>
  <c r="AP417" i="1"/>
  <c r="AN417" i="1"/>
  <c r="AL417" i="1"/>
  <c r="AJ417" i="1"/>
  <c r="AG417" i="1"/>
  <c r="AH417" i="1" s="1"/>
  <c r="AF417" i="1"/>
  <c r="AB417" i="1"/>
  <c r="Y417" i="1"/>
  <c r="Y401" i="1" s="1"/>
  <c r="X417" i="1"/>
  <c r="V417" i="1"/>
  <c r="T417" i="1"/>
  <c r="R417" i="1"/>
  <c r="CW416" i="1"/>
  <c r="CT416" i="1"/>
  <c r="CR416" i="1"/>
  <c r="CP416" i="1"/>
  <c r="CN416" i="1"/>
  <c r="CL416" i="1"/>
  <c r="CH416" i="1"/>
  <c r="CF416" i="1"/>
  <c r="CD416" i="1"/>
  <c r="CB416" i="1"/>
  <c r="BZ416" i="1"/>
  <c r="BX416" i="1"/>
  <c r="BV416" i="1"/>
  <c r="BT416" i="1"/>
  <c r="BR416" i="1"/>
  <c r="BP416" i="1"/>
  <c r="BN416" i="1"/>
  <c r="BL416" i="1"/>
  <c r="BJ416" i="1"/>
  <c r="BH416" i="1"/>
  <c r="BF416" i="1"/>
  <c r="BB416" i="1"/>
  <c r="AZ416" i="1"/>
  <c r="AX416" i="1"/>
  <c r="AP416" i="1"/>
  <c r="AN416" i="1"/>
  <c r="AL416" i="1"/>
  <c r="AJ416" i="1"/>
  <c r="AH416" i="1"/>
  <c r="AF416" i="1"/>
  <c r="AB416" i="1"/>
  <c r="Z416" i="1"/>
  <c r="X416" i="1"/>
  <c r="V416" i="1"/>
  <c r="T416" i="1"/>
  <c r="R416" i="1"/>
  <c r="CT415" i="1"/>
  <c r="CR415" i="1"/>
  <c r="CP415" i="1"/>
  <c r="CN415" i="1"/>
  <c r="CL415" i="1"/>
  <c r="CJ415" i="1"/>
  <c r="CH415" i="1"/>
  <c r="CF415" i="1"/>
  <c r="CD415" i="1"/>
  <c r="CB415" i="1"/>
  <c r="BZ415" i="1"/>
  <c r="BX415" i="1"/>
  <c r="BV415" i="1"/>
  <c r="BT415" i="1"/>
  <c r="BR415" i="1"/>
  <c r="BP415" i="1"/>
  <c r="BL415" i="1"/>
  <c r="BJ415" i="1"/>
  <c r="BH415" i="1"/>
  <c r="BF415" i="1"/>
  <c r="BD415" i="1"/>
  <c r="BB415" i="1"/>
  <c r="AZ415" i="1"/>
  <c r="AX415" i="1"/>
  <c r="AT415" i="1"/>
  <c r="AP415" i="1"/>
  <c r="AN415" i="1"/>
  <c r="AK415" i="1"/>
  <c r="AL415" i="1" s="1"/>
  <c r="AJ415" i="1"/>
  <c r="AG415" i="1"/>
  <c r="AH415" i="1" s="1"/>
  <c r="AF415" i="1"/>
  <c r="AB415" i="1"/>
  <c r="Z415" i="1"/>
  <c r="X415" i="1"/>
  <c r="V415" i="1"/>
  <c r="T415" i="1"/>
  <c r="R415" i="1"/>
  <c r="CT414" i="1"/>
  <c r="CR414" i="1"/>
  <c r="CP414" i="1"/>
  <c r="CN414" i="1"/>
  <c r="CL414" i="1"/>
  <c r="CJ414" i="1"/>
  <c r="CH414" i="1"/>
  <c r="CF414" i="1"/>
  <c r="CD414" i="1"/>
  <c r="CB414" i="1"/>
  <c r="BZ414" i="1"/>
  <c r="BX414" i="1"/>
  <c r="BV414" i="1"/>
  <c r="BT414" i="1"/>
  <c r="BR414" i="1"/>
  <c r="BP414" i="1"/>
  <c r="BL414" i="1"/>
  <c r="BJ414" i="1"/>
  <c r="BH414" i="1"/>
  <c r="BF414" i="1"/>
  <c r="BD414" i="1"/>
  <c r="BB414" i="1"/>
  <c r="AZ414" i="1"/>
  <c r="AX414" i="1"/>
  <c r="AT414" i="1"/>
  <c r="AP414" i="1"/>
  <c r="AN414" i="1"/>
  <c r="AL414" i="1"/>
  <c r="AJ414" i="1"/>
  <c r="AG414" i="1"/>
  <c r="CW414" i="1" s="1"/>
  <c r="AF414" i="1"/>
  <c r="AB414" i="1"/>
  <c r="Z414" i="1"/>
  <c r="X414" i="1"/>
  <c r="V414" i="1"/>
  <c r="T414" i="1"/>
  <c r="R414" i="1"/>
  <c r="CW413" i="1"/>
  <c r="CT413" i="1"/>
  <c r="CR413" i="1"/>
  <c r="CP413" i="1"/>
  <c r="CN413" i="1"/>
  <c r="CL413" i="1"/>
  <c r="CJ413" i="1"/>
  <c r="CH413" i="1"/>
  <c r="CF413" i="1"/>
  <c r="CD413" i="1"/>
  <c r="CB413" i="1"/>
  <c r="BZ413" i="1"/>
  <c r="BX413" i="1"/>
  <c r="BV413" i="1"/>
  <c r="BT413" i="1"/>
  <c r="BR413" i="1"/>
  <c r="BP413" i="1"/>
  <c r="BL413" i="1"/>
  <c r="BJ413" i="1"/>
  <c r="BH413" i="1"/>
  <c r="BF413" i="1"/>
  <c r="BD413" i="1"/>
  <c r="BB413" i="1"/>
  <c r="AZ413" i="1"/>
  <c r="AX413" i="1"/>
  <c r="AT413" i="1"/>
  <c r="AP413" i="1"/>
  <c r="AN413" i="1"/>
  <c r="AL413" i="1"/>
  <c r="AJ413" i="1"/>
  <c r="AH413" i="1"/>
  <c r="AF413" i="1"/>
  <c r="AB413" i="1"/>
  <c r="Z413" i="1"/>
  <c r="X413" i="1"/>
  <c r="V413" i="1"/>
  <c r="T413" i="1"/>
  <c r="R413" i="1"/>
  <c r="CT412" i="1"/>
  <c r="CR412" i="1"/>
  <c r="CP412" i="1"/>
  <c r="CN412" i="1"/>
  <c r="CL412" i="1"/>
  <c r="CJ412" i="1"/>
  <c r="CH412" i="1"/>
  <c r="CF412" i="1"/>
  <c r="CD412" i="1"/>
  <c r="CB412" i="1"/>
  <c r="BZ412" i="1"/>
  <c r="BX412" i="1"/>
  <c r="BV412" i="1"/>
  <c r="BT412" i="1"/>
  <c r="BR412" i="1"/>
  <c r="BP412" i="1"/>
  <c r="BL412" i="1"/>
  <c r="BJ412" i="1"/>
  <c r="BH412" i="1"/>
  <c r="BF412" i="1"/>
  <c r="BD412" i="1"/>
  <c r="BB412" i="1"/>
  <c r="AZ412" i="1"/>
  <c r="AX412" i="1"/>
  <c r="AT412" i="1"/>
  <c r="AP412" i="1"/>
  <c r="AN412" i="1"/>
  <c r="AK412" i="1"/>
  <c r="AL412" i="1" s="1"/>
  <c r="AJ412" i="1"/>
  <c r="AG412" i="1"/>
  <c r="AH412" i="1" s="1"/>
  <c r="AF412" i="1"/>
  <c r="AB412" i="1"/>
  <c r="Z412" i="1"/>
  <c r="X412" i="1"/>
  <c r="V412" i="1"/>
  <c r="T412" i="1"/>
  <c r="R412" i="1"/>
  <c r="CW411" i="1"/>
  <c r="CT411" i="1"/>
  <c r="CR411" i="1"/>
  <c r="CP411" i="1"/>
  <c r="CN411" i="1"/>
  <c r="CL411" i="1"/>
  <c r="CJ411" i="1"/>
  <c r="CH411" i="1"/>
  <c r="CF411" i="1"/>
  <c r="CD411" i="1"/>
  <c r="CB411" i="1"/>
  <c r="BZ411" i="1"/>
  <c r="BX411" i="1"/>
  <c r="BV411" i="1"/>
  <c r="BT411" i="1"/>
  <c r="BR411" i="1"/>
  <c r="BP411" i="1"/>
  <c r="BN411" i="1"/>
  <c r="BL411" i="1"/>
  <c r="BJ411" i="1"/>
  <c r="BH411" i="1"/>
  <c r="BF411" i="1"/>
  <c r="BD411" i="1"/>
  <c r="BB411" i="1"/>
  <c r="AZ411" i="1"/>
  <c r="AX411" i="1"/>
  <c r="AP411" i="1"/>
  <c r="AN411" i="1"/>
  <c r="AL411" i="1"/>
  <c r="AJ411" i="1"/>
  <c r="AH411" i="1"/>
  <c r="AF411" i="1"/>
  <c r="AB411" i="1"/>
  <c r="Z411" i="1"/>
  <c r="X411" i="1"/>
  <c r="V411" i="1"/>
  <c r="T411" i="1"/>
  <c r="R411" i="1"/>
  <c r="CV410" i="1"/>
  <c r="CT410" i="1"/>
  <c r="CR410" i="1"/>
  <c r="CP410" i="1"/>
  <c r="CN410" i="1"/>
  <c r="CL410" i="1"/>
  <c r="CH410" i="1"/>
  <c r="CF410" i="1"/>
  <c r="CD410" i="1"/>
  <c r="CB410" i="1"/>
  <c r="BZ410" i="1"/>
  <c r="BX410" i="1"/>
  <c r="BV410" i="1"/>
  <c r="BT410" i="1"/>
  <c r="BR410" i="1"/>
  <c r="BP410" i="1"/>
  <c r="BN410" i="1"/>
  <c r="BL410" i="1"/>
  <c r="BJ410" i="1"/>
  <c r="BH410" i="1"/>
  <c r="BF410" i="1"/>
  <c r="BD410" i="1"/>
  <c r="BB410" i="1"/>
  <c r="AZ410" i="1"/>
  <c r="AX410" i="1"/>
  <c r="AV410" i="1"/>
  <c r="AT410" i="1"/>
  <c r="AP410" i="1"/>
  <c r="AN410" i="1"/>
  <c r="AL410" i="1"/>
  <c r="AJ410" i="1"/>
  <c r="AG410" i="1"/>
  <c r="CW410" i="1" s="1"/>
  <c r="AF410" i="1"/>
  <c r="AB410" i="1"/>
  <c r="Z410" i="1"/>
  <c r="X410" i="1"/>
  <c r="V410" i="1"/>
  <c r="T410" i="1"/>
  <c r="R410" i="1"/>
  <c r="CV409" i="1"/>
  <c r="CT409" i="1"/>
  <c r="CR409" i="1"/>
  <c r="CP409" i="1"/>
  <c r="CN409" i="1"/>
  <c r="CL409" i="1"/>
  <c r="CH409" i="1"/>
  <c r="CF409" i="1"/>
  <c r="CD409" i="1"/>
  <c r="CB409" i="1"/>
  <c r="BZ409" i="1"/>
  <c r="BX409" i="1"/>
  <c r="BV409" i="1"/>
  <c r="BT409" i="1"/>
  <c r="BR409" i="1"/>
  <c r="BP409" i="1"/>
  <c r="BN409" i="1"/>
  <c r="BL409" i="1"/>
  <c r="BJ409" i="1"/>
  <c r="BH409" i="1"/>
  <c r="BF409" i="1"/>
  <c r="BD409" i="1"/>
  <c r="BB409" i="1"/>
  <c r="AZ409" i="1"/>
  <c r="AX409" i="1"/>
  <c r="AV409" i="1"/>
  <c r="AT409" i="1"/>
  <c r="AP409" i="1"/>
  <c r="AN409" i="1"/>
  <c r="AK409" i="1"/>
  <c r="AL409" i="1" s="1"/>
  <c r="AJ409" i="1"/>
  <c r="AG409" i="1"/>
  <c r="AH409" i="1" s="1"/>
  <c r="AF409" i="1"/>
  <c r="AB409" i="1"/>
  <c r="Z409" i="1"/>
  <c r="X409" i="1"/>
  <c r="U409" i="1"/>
  <c r="V409" i="1" s="1"/>
  <c r="T409" i="1"/>
  <c r="R409" i="1"/>
  <c r="CT408" i="1"/>
  <c r="CR408" i="1"/>
  <c r="CP408" i="1"/>
  <c r="CN408" i="1"/>
  <c r="CL408" i="1"/>
  <c r="CH408" i="1"/>
  <c r="CF408" i="1"/>
  <c r="CD408" i="1"/>
  <c r="CB408" i="1"/>
  <c r="BZ408" i="1"/>
  <c r="BX408" i="1"/>
  <c r="BV408" i="1"/>
  <c r="BT408" i="1"/>
  <c r="BR408" i="1"/>
  <c r="BP408" i="1"/>
  <c r="BN408" i="1"/>
  <c r="BL408" i="1"/>
  <c r="BJ408" i="1"/>
  <c r="BH408" i="1"/>
  <c r="BF408" i="1"/>
  <c r="BB408" i="1"/>
  <c r="AZ408" i="1"/>
  <c r="AX408" i="1"/>
  <c r="AP408" i="1"/>
  <c r="AN408" i="1"/>
  <c r="AL408" i="1"/>
  <c r="AJ408" i="1"/>
  <c r="AG408" i="1"/>
  <c r="CW408" i="1" s="1"/>
  <c r="AF408" i="1"/>
  <c r="AB408" i="1"/>
  <c r="Z408" i="1"/>
  <c r="X408" i="1"/>
  <c r="V408" i="1"/>
  <c r="T408" i="1"/>
  <c r="R408" i="1"/>
  <c r="CW407" i="1"/>
  <c r="CV407" i="1"/>
  <c r="CT407" i="1"/>
  <c r="CR407" i="1"/>
  <c r="CP407" i="1"/>
  <c r="CN407" i="1"/>
  <c r="CL407" i="1"/>
  <c r="CH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P407" i="1"/>
  <c r="AN407" i="1"/>
  <c r="AL407" i="1"/>
  <c r="AJ407" i="1"/>
  <c r="AH407" i="1"/>
  <c r="AF407" i="1"/>
  <c r="AB407" i="1"/>
  <c r="Z407" i="1"/>
  <c r="X407" i="1"/>
  <c r="V407" i="1"/>
  <c r="T407" i="1"/>
  <c r="R407" i="1"/>
  <c r="CV406" i="1"/>
  <c r="CT406" i="1"/>
  <c r="CR406" i="1"/>
  <c r="CP406" i="1"/>
  <c r="CN406" i="1"/>
  <c r="CL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P406" i="1"/>
  <c r="AN406" i="1"/>
  <c r="AL406" i="1"/>
  <c r="AJ406" i="1"/>
  <c r="AH406" i="1"/>
  <c r="AF406" i="1"/>
  <c r="AB406" i="1"/>
  <c r="Z406" i="1"/>
  <c r="X406" i="1"/>
  <c r="V406" i="1"/>
  <c r="S406" i="1"/>
  <c r="T406" i="1" s="1"/>
  <c r="R406" i="1"/>
  <c r="CT405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P405" i="1"/>
  <c r="AN405" i="1"/>
  <c r="AL405" i="1"/>
  <c r="AJ405" i="1"/>
  <c r="AG405" i="1"/>
  <c r="AF405" i="1"/>
  <c r="AB405" i="1"/>
  <c r="Z405" i="1"/>
  <c r="X405" i="1"/>
  <c r="V405" i="1"/>
  <c r="T405" i="1"/>
  <c r="R405" i="1"/>
  <c r="CW404" i="1"/>
  <c r="CT404" i="1"/>
  <c r="CR404" i="1"/>
  <c r="CP404" i="1"/>
  <c r="CN404" i="1"/>
  <c r="CL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B404" i="1"/>
  <c r="AZ404" i="1"/>
  <c r="AX404" i="1"/>
  <c r="AP404" i="1"/>
  <c r="AN404" i="1"/>
  <c r="AL404" i="1"/>
  <c r="AJ404" i="1"/>
  <c r="AH404" i="1"/>
  <c r="AF404" i="1"/>
  <c r="AB404" i="1"/>
  <c r="Z404" i="1"/>
  <c r="X404" i="1"/>
  <c r="V404" i="1"/>
  <c r="T404" i="1"/>
  <c r="R404" i="1"/>
  <c r="CT403" i="1"/>
  <c r="CR403" i="1"/>
  <c r="CP403" i="1"/>
  <c r="CN403" i="1"/>
  <c r="CL403" i="1"/>
  <c r="CH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B403" i="1"/>
  <c r="AZ403" i="1"/>
  <c r="AX403" i="1"/>
  <c r="AP403" i="1"/>
  <c r="AN403" i="1"/>
  <c r="AL403" i="1"/>
  <c r="AJ403" i="1"/>
  <c r="AG403" i="1"/>
  <c r="CW403" i="1" s="1"/>
  <c r="AF403" i="1"/>
  <c r="AB403" i="1"/>
  <c r="Z403" i="1"/>
  <c r="X403" i="1"/>
  <c r="V403" i="1"/>
  <c r="T403" i="1"/>
  <c r="R403" i="1"/>
  <c r="CV402" i="1"/>
  <c r="CT402" i="1"/>
  <c r="CR402" i="1"/>
  <c r="CP402" i="1"/>
  <c r="CN402" i="1"/>
  <c r="CL402" i="1"/>
  <c r="CH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P402" i="1"/>
  <c r="AN402" i="1"/>
  <c r="AK402" i="1"/>
  <c r="AK401" i="1" s="1"/>
  <c r="AJ402" i="1"/>
  <c r="AG402" i="1"/>
  <c r="AH402" i="1" s="1"/>
  <c r="AF402" i="1"/>
  <c r="AB402" i="1"/>
  <c r="Z402" i="1"/>
  <c r="X402" i="1"/>
  <c r="V402" i="1"/>
  <c r="T402" i="1"/>
  <c r="R402" i="1"/>
  <c r="CU401" i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O401" i="1"/>
  <c r="AM401" i="1"/>
  <c r="AI401" i="1"/>
  <c r="AE401" i="1"/>
  <c r="AD401" i="1"/>
  <c r="AC401" i="1"/>
  <c r="AA401" i="1"/>
  <c r="W401" i="1"/>
  <c r="Q401" i="1"/>
  <c r="CW400" i="1"/>
  <c r="CV400" i="1"/>
  <c r="CT400" i="1"/>
  <c r="CR400" i="1"/>
  <c r="CP400" i="1"/>
  <c r="CN400" i="1"/>
  <c r="CL400" i="1"/>
  <c r="CH400" i="1"/>
  <c r="CF400" i="1"/>
  <c r="CD400" i="1"/>
  <c r="CB400" i="1"/>
  <c r="BZ400" i="1"/>
  <c r="BX400" i="1"/>
  <c r="BV400" i="1"/>
  <c r="BT400" i="1"/>
  <c r="BR400" i="1"/>
  <c r="BP400" i="1"/>
  <c r="BN400" i="1"/>
  <c r="BL400" i="1"/>
  <c r="BJ400" i="1"/>
  <c r="BH400" i="1"/>
  <c r="BF400" i="1"/>
  <c r="BD400" i="1"/>
  <c r="BB400" i="1"/>
  <c r="AZ400" i="1"/>
  <c r="AX400" i="1"/>
  <c r="AV400" i="1"/>
  <c r="AT400" i="1"/>
  <c r="AP400" i="1"/>
  <c r="AN400" i="1"/>
  <c r="AL400" i="1"/>
  <c r="AJ400" i="1"/>
  <c r="AH400" i="1"/>
  <c r="AF400" i="1"/>
  <c r="AB400" i="1"/>
  <c r="Z400" i="1"/>
  <c r="X400" i="1"/>
  <c r="V400" i="1"/>
  <c r="T400" i="1"/>
  <c r="R400" i="1"/>
  <c r="CT399" i="1"/>
  <c r="CR399" i="1"/>
  <c r="CN399" i="1"/>
  <c r="CL399" i="1"/>
  <c r="CJ399" i="1"/>
  <c r="CH399" i="1"/>
  <c r="CF399" i="1"/>
  <c r="CD399" i="1"/>
  <c r="CB399" i="1"/>
  <c r="BZ399" i="1"/>
  <c r="BX399" i="1"/>
  <c r="BV399" i="1"/>
  <c r="BT399" i="1"/>
  <c r="BR399" i="1"/>
  <c r="BP399" i="1"/>
  <c r="BN399" i="1"/>
  <c r="BL399" i="1"/>
  <c r="BJ399" i="1"/>
  <c r="BH399" i="1"/>
  <c r="BF399" i="1"/>
  <c r="BD399" i="1"/>
  <c r="BB399" i="1"/>
  <c r="AY399" i="1"/>
  <c r="CW399" i="1" s="1"/>
  <c r="AX399" i="1"/>
  <c r="AP399" i="1"/>
  <c r="AN399" i="1"/>
  <c r="AL399" i="1"/>
  <c r="AJ399" i="1"/>
  <c r="AH399" i="1"/>
  <c r="AF399" i="1"/>
  <c r="AB399" i="1"/>
  <c r="Z399" i="1"/>
  <c r="X399" i="1"/>
  <c r="V399" i="1"/>
  <c r="T399" i="1"/>
  <c r="R399" i="1"/>
  <c r="CV398" i="1"/>
  <c r="CT398" i="1"/>
  <c r="CR398" i="1"/>
  <c r="CN398" i="1"/>
  <c r="CL398" i="1"/>
  <c r="CH398" i="1"/>
  <c r="CF398" i="1"/>
  <c r="CD398" i="1"/>
  <c r="CB398" i="1"/>
  <c r="BZ398" i="1"/>
  <c r="BX398" i="1"/>
  <c r="BV398" i="1"/>
  <c r="BT398" i="1"/>
  <c r="BR398" i="1"/>
  <c r="BP398" i="1"/>
  <c r="BN398" i="1"/>
  <c r="BL398" i="1"/>
  <c r="BJ398" i="1"/>
  <c r="BH398" i="1"/>
  <c r="BF398" i="1"/>
  <c r="BD398" i="1"/>
  <c r="BB398" i="1"/>
  <c r="AY398" i="1"/>
  <c r="AZ398" i="1" s="1"/>
  <c r="AX398" i="1"/>
  <c r="AV398" i="1"/>
  <c r="AT398" i="1"/>
  <c r="AP398" i="1"/>
  <c r="AN398" i="1"/>
  <c r="AL398" i="1"/>
  <c r="AJ398" i="1"/>
  <c r="AG398" i="1"/>
  <c r="AH398" i="1" s="1"/>
  <c r="AF398" i="1"/>
  <c r="AB398" i="1"/>
  <c r="Z398" i="1"/>
  <c r="X398" i="1"/>
  <c r="V398" i="1"/>
  <c r="T398" i="1"/>
  <c r="R398" i="1"/>
  <c r="CT397" i="1"/>
  <c r="CR397" i="1"/>
  <c r="CN397" i="1"/>
  <c r="CL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B397" i="1"/>
  <c r="AZ397" i="1"/>
  <c r="AX397" i="1"/>
  <c r="AP397" i="1"/>
  <c r="AN397" i="1"/>
  <c r="AK397" i="1"/>
  <c r="CW397" i="1" s="1"/>
  <c r="AJ397" i="1"/>
  <c r="AH397" i="1"/>
  <c r="AF397" i="1"/>
  <c r="AB397" i="1"/>
  <c r="Z397" i="1"/>
  <c r="X397" i="1"/>
  <c r="V397" i="1"/>
  <c r="T397" i="1"/>
  <c r="R397" i="1"/>
  <c r="CV396" i="1"/>
  <c r="CT396" i="1"/>
  <c r="CR396" i="1"/>
  <c r="CN396" i="1"/>
  <c r="CL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P396" i="1"/>
  <c r="AN396" i="1"/>
  <c r="AL396" i="1"/>
  <c r="AJ396" i="1"/>
  <c r="AH396" i="1"/>
  <c r="AF396" i="1"/>
  <c r="AB396" i="1"/>
  <c r="Z396" i="1"/>
  <c r="X396" i="1"/>
  <c r="V396" i="1"/>
  <c r="S396" i="1"/>
  <c r="CW396" i="1" s="1"/>
  <c r="R396" i="1"/>
  <c r="CT395" i="1"/>
  <c r="CR395" i="1"/>
  <c r="CN395" i="1"/>
  <c r="CL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B395" i="1"/>
  <c r="AZ395" i="1"/>
  <c r="AX395" i="1"/>
  <c r="AP395" i="1"/>
  <c r="AN395" i="1"/>
  <c r="AL395" i="1"/>
  <c r="AJ395" i="1"/>
  <c r="AG395" i="1"/>
  <c r="AF395" i="1"/>
  <c r="AB395" i="1"/>
  <c r="Z395" i="1"/>
  <c r="X395" i="1"/>
  <c r="V395" i="1"/>
  <c r="T395" i="1"/>
  <c r="R395" i="1"/>
  <c r="CV394" i="1"/>
  <c r="CT394" i="1"/>
  <c r="CR394" i="1"/>
  <c r="CN394" i="1"/>
  <c r="CL394" i="1"/>
  <c r="CH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P394" i="1"/>
  <c r="AN394" i="1"/>
  <c r="AL394" i="1"/>
  <c r="AJ394" i="1"/>
  <c r="AH394" i="1"/>
  <c r="AF394" i="1"/>
  <c r="AB394" i="1"/>
  <c r="Z394" i="1"/>
  <c r="X394" i="1"/>
  <c r="V394" i="1"/>
  <c r="S394" i="1"/>
  <c r="CW394" i="1" s="1"/>
  <c r="R394" i="1"/>
  <c r="CT393" i="1"/>
  <c r="CR393" i="1"/>
  <c r="CN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L393" i="1"/>
  <c r="BJ393" i="1"/>
  <c r="BH393" i="1"/>
  <c r="BF393" i="1"/>
  <c r="BD393" i="1"/>
  <c r="BB393" i="1"/>
  <c r="AZ393" i="1"/>
  <c r="AX393" i="1"/>
  <c r="AT393" i="1"/>
  <c r="AP393" i="1"/>
  <c r="AN393" i="1"/>
  <c r="AL393" i="1"/>
  <c r="AJ393" i="1"/>
  <c r="AG393" i="1"/>
  <c r="CW393" i="1" s="1"/>
  <c r="AF393" i="1"/>
  <c r="AB393" i="1"/>
  <c r="Z393" i="1"/>
  <c r="X393" i="1"/>
  <c r="V393" i="1"/>
  <c r="T393" i="1"/>
  <c r="R393" i="1"/>
  <c r="CW392" i="1"/>
  <c r="CV392" i="1"/>
  <c r="CT392" i="1"/>
  <c r="CR392" i="1"/>
  <c r="CP392" i="1"/>
  <c r="CN392" i="1"/>
  <c r="CL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P392" i="1"/>
  <c r="AN392" i="1"/>
  <c r="AL392" i="1"/>
  <c r="AJ392" i="1"/>
  <c r="AH392" i="1"/>
  <c r="AF392" i="1"/>
  <c r="AB392" i="1"/>
  <c r="Z392" i="1"/>
  <c r="X392" i="1"/>
  <c r="V392" i="1"/>
  <c r="T392" i="1"/>
  <c r="R392" i="1"/>
  <c r="CW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L391" i="1"/>
  <c r="BJ391" i="1"/>
  <c r="BH391" i="1"/>
  <c r="BF391" i="1"/>
  <c r="BD391" i="1"/>
  <c r="BB391" i="1"/>
  <c r="AZ391" i="1"/>
  <c r="AX391" i="1"/>
  <c r="AP391" i="1"/>
  <c r="AN391" i="1"/>
  <c r="AL391" i="1"/>
  <c r="AJ391" i="1"/>
  <c r="AH391" i="1"/>
  <c r="AF391" i="1"/>
  <c r="AB391" i="1"/>
  <c r="Z391" i="1"/>
  <c r="X391" i="1"/>
  <c r="V391" i="1"/>
  <c r="T391" i="1"/>
  <c r="R391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L390" i="1"/>
  <c r="BJ390" i="1"/>
  <c r="BH390" i="1"/>
  <c r="BF390" i="1"/>
  <c r="BD390" i="1"/>
  <c r="BB390" i="1"/>
  <c r="AZ390" i="1"/>
  <c r="AX390" i="1"/>
  <c r="AT390" i="1"/>
  <c r="AP390" i="1"/>
  <c r="AM390" i="1"/>
  <c r="AN390" i="1" s="1"/>
  <c r="AL390" i="1"/>
  <c r="AJ390" i="1"/>
  <c r="AH390" i="1"/>
  <c r="AF390" i="1"/>
  <c r="AB390" i="1"/>
  <c r="Y390" i="1"/>
  <c r="Z390" i="1" s="1"/>
  <c r="X390" i="1"/>
  <c r="V390" i="1"/>
  <c r="T390" i="1"/>
  <c r="R390" i="1"/>
  <c r="CW389" i="1"/>
  <c r="CT389" i="1"/>
  <c r="CR389" i="1"/>
  <c r="CP389" i="1"/>
  <c r="CN389" i="1"/>
  <c r="CL389" i="1"/>
  <c r="CH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B389" i="1"/>
  <c r="AZ389" i="1"/>
  <c r="AX389" i="1"/>
  <c r="AP389" i="1"/>
  <c r="AN389" i="1"/>
  <c r="AL389" i="1"/>
  <c r="AJ389" i="1"/>
  <c r="AH389" i="1"/>
  <c r="AF389" i="1"/>
  <c r="AB389" i="1"/>
  <c r="Z389" i="1"/>
  <c r="X389" i="1"/>
  <c r="V389" i="1"/>
  <c r="T389" i="1"/>
  <c r="R389" i="1"/>
  <c r="CT388" i="1"/>
  <c r="CR388" i="1"/>
  <c r="CP388" i="1"/>
  <c r="CN388" i="1"/>
  <c r="CL388" i="1"/>
  <c r="CH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B388" i="1"/>
  <c r="AZ388" i="1"/>
  <c r="AX388" i="1"/>
  <c r="AP388" i="1"/>
  <c r="AN388" i="1"/>
  <c r="AL388" i="1"/>
  <c r="AJ388" i="1"/>
  <c r="AH388" i="1"/>
  <c r="AF388" i="1"/>
  <c r="AB388" i="1"/>
  <c r="Y388" i="1"/>
  <c r="CW388" i="1" s="1"/>
  <c r="X388" i="1"/>
  <c r="V388" i="1"/>
  <c r="T388" i="1"/>
  <c r="R388" i="1"/>
  <c r="CT387" i="1"/>
  <c r="CR387" i="1"/>
  <c r="CP387" i="1"/>
  <c r="CN387" i="1"/>
  <c r="CL387" i="1"/>
  <c r="CH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B387" i="1"/>
  <c r="AZ387" i="1"/>
  <c r="AX387" i="1"/>
  <c r="AP387" i="1"/>
  <c r="AN387" i="1"/>
  <c r="AL387" i="1"/>
  <c r="AJ387" i="1"/>
  <c r="AH387" i="1"/>
  <c r="AF387" i="1"/>
  <c r="AB387" i="1"/>
  <c r="Y387" i="1"/>
  <c r="X387" i="1"/>
  <c r="V387" i="1"/>
  <c r="T387" i="1"/>
  <c r="R387" i="1"/>
  <c r="CW386" i="1"/>
  <c r="CT386" i="1"/>
  <c r="CR386" i="1"/>
  <c r="CP386" i="1"/>
  <c r="CN386" i="1"/>
  <c r="CL386" i="1"/>
  <c r="CH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B386" i="1"/>
  <c r="AZ386" i="1"/>
  <c r="AX386" i="1"/>
  <c r="AP386" i="1"/>
  <c r="AN386" i="1"/>
  <c r="AL386" i="1"/>
  <c r="AJ386" i="1"/>
  <c r="AH386" i="1"/>
  <c r="AF386" i="1"/>
  <c r="AB386" i="1"/>
  <c r="Z386" i="1"/>
  <c r="X386" i="1"/>
  <c r="V386" i="1"/>
  <c r="T386" i="1"/>
  <c r="R386" i="1"/>
  <c r="CW385" i="1"/>
  <c r="CT385" i="1"/>
  <c r="CR385" i="1"/>
  <c r="CP385" i="1"/>
  <c r="CN385" i="1"/>
  <c r="CL385" i="1"/>
  <c r="CH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B385" i="1"/>
  <c r="AZ385" i="1"/>
  <c r="AX385" i="1"/>
  <c r="AP385" i="1"/>
  <c r="AN385" i="1"/>
  <c r="AL385" i="1"/>
  <c r="AJ385" i="1"/>
  <c r="AH385" i="1"/>
  <c r="AF385" i="1"/>
  <c r="AB385" i="1"/>
  <c r="Z385" i="1"/>
  <c r="X385" i="1"/>
  <c r="V385" i="1"/>
  <c r="T385" i="1"/>
  <c r="R385" i="1"/>
  <c r="CV384" i="1"/>
  <c r="CT384" i="1"/>
  <c r="CR384" i="1"/>
  <c r="CN384" i="1"/>
  <c r="CL384" i="1"/>
  <c r="CH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P384" i="1"/>
  <c r="AM384" i="1"/>
  <c r="AM381" i="1" s="1"/>
  <c r="AL384" i="1"/>
  <c r="AJ384" i="1"/>
  <c r="AH384" i="1"/>
  <c r="AF384" i="1"/>
  <c r="AB384" i="1"/>
  <c r="Z384" i="1"/>
  <c r="X384" i="1"/>
  <c r="V384" i="1"/>
  <c r="T384" i="1"/>
  <c r="R384" i="1"/>
  <c r="CW383" i="1"/>
  <c r="CT383" i="1"/>
  <c r="CR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P383" i="1"/>
  <c r="AN383" i="1"/>
  <c r="AL383" i="1"/>
  <c r="AJ383" i="1"/>
  <c r="AH383" i="1"/>
  <c r="AF383" i="1"/>
  <c r="AB383" i="1"/>
  <c r="Z383" i="1"/>
  <c r="X383" i="1"/>
  <c r="V383" i="1"/>
  <c r="T383" i="1"/>
  <c r="R383" i="1"/>
  <c r="CW382" i="1"/>
  <c r="CV382" i="1"/>
  <c r="CT382" i="1"/>
  <c r="CR382" i="1"/>
  <c r="CN382" i="1"/>
  <c r="CL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P382" i="1"/>
  <c r="AN382" i="1"/>
  <c r="AL382" i="1"/>
  <c r="AJ382" i="1"/>
  <c r="AH382" i="1"/>
  <c r="AF382" i="1"/>
  <c r="AB382" i="1"/>
  <c r="Z382" i="1"/>
  <c r="X382" i="1"/>
  <c r="V382" i="1"/>
  <c r="T382" i="1"/>
  <c r="R382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O381" i="1"/>
  <c r="AI381" i="1"/>
  <c r="AE381" i="1"/>
  <c r="AD381" i="1"/>
  <c r="AC381" i="1"/>
  <c r="AA381" i="1"/>
  <c r="W381" i="1"/>
  <c r="U381" i="1"/>
  <c r="Q381" i="1"/>
  <c r="CW380" i="1"/>
  <c r="CT380" i="1"/>
  <c r="CR380" i="1"/>
  <c r="CP380" i="1"/>
  <c r="CN380" i="1"/>
  <c r="CH380" i="1"/>
  <c r="CF380" i="1"/>
  <c r="CD380" i="1"/>
  <c r="CB380" i="1"/>
  <c r="BZ380" i="1"/>
  <c r="BX380" i="1"/>
  <c r="BT380" i="1"/>
  <c r="BP380" i="1"/>
  <c r="BN380" i="1"/>
  <c r="BL380" i="1"/>
  <c r="BJ380" i="1"/>
  <c r="BH380" i="1"/>
  <c r="BF380" i="1"/>
  <c r="BD380" i="1"/>
  <c r="BB380" i="1"/>
  <c r="AZ380" i="1"/>
  <c r="AX380" i="1"/>
  <c r="AP380" i="1"/>
  <c r="AN380" i="1"/>
  <c r="AL380" i="1"/>
  <c r="AJ380" i="1"/>
  <c r="AH380" i="1"/>
  <c r="AF380" i="1"/>
  <c r="AB380" i="1"/>
  <c r="Z380" i="1"/>
  <c r="X380" i="1"/>
  <c r="V380" i="1"/>
  <c r="T380" i="1"/>
  <c r="R380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L379" i="1"/>
  <c r="BJ379" i="1"/>
  <c r="BH379" i="1"/>
  <c r="BF379" i="1"/>
  <c r="BD379" i="1"/>
  <c r="BB379" i="1"/>
  <c r="AZ379" i="1"/>
  <c r="AX379" i="1"/>
  <c r="AT379" i="1"/>
  <c r="AP379" i="1"/>
  <c r="AN379" i="1"/>
  <c r="AL379" i="1"/>
  <c r="AJ379" i="1"/>
  <c r="AG379" i="1"/>
  <c r="AF379" i="1"/>
  <c r="AB379" i="1"/>
  <c r="Y379" i="1"/>
  <c r="Z379" i="1" s="1"/>
  <c r="X379" i="1"/>
  <c r="V379" i="1"/>
  <c r="T379" i="1"/>
  <c r="R379" i="1"/>
  <c r="CT378" i="1"/>
  <c r="CR378" i="1"/>
  <c r="CP378" i="1"/>
  <c r="CN378" i="1"/>
  <c r="CL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B378" i="1"/>
  <c r="AY378" i="1"/>
  <c r="AZ378" i="1" s="1"/>
  <c r="AX378" i="1"/>
  <c r="AP378" i="1"/>
  <c r="AN378" i="1"/>
  <c r="AL378" i="1"/>
  <c r="AJ378" i="1"/>
  <c r="AG378" i="1"/>
  <c r="AH378" i="1" s="1"/>
  <c r="AF378" i="1"/>
  <c r="AB378" i="1"/>
  <c r="Z378" i="1"/>
  <c r="X378" i="1"/>
  <c r="V378" i="1"/>
  <c r="T378" i="1"/>
  <c r="R378" i="1"/>
  <c r="CT377" i="1"/>
  <c r="CR377" i="1"/>
  <c r="CP377" i="1"/>
  <c r="CN377" i="1"/>
  <c r="CL377" i="1"/>
  <c r="CH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B377" i="1"/>
  <c r="AZ377" i="1"/>
  <c r="AX377" i="1"/>
  <c r="AP377" i="1"/>
  <c r="AN377" i="1"/>
  <c r="AL377" i="1"/>
  <c r="AJ377" i="1"/>
  <c r="AG377" i="1"/>
  <c r="AH377" i="1" s="1"/>
  <c r="AF377" i="1"/>
  <c r="AB377" i="1"/>
  <c r="Y377" i="1"/>
  <c r="X377" i="1"/>
  <c r="V377" i="1"/>
  <c r="T377" i="1"/>
  <c r="R377" i="1"/>
  <c r="CT376" i="1"/>
  <c r="CR376" i="1"/>
  <c r="CP376" i="1"/>
  <c r="CN376" i="1"/>
  <c r="CL376" i="1"/>
  <c r="CH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B376" i="1"/>
  <c r="AZ376" i="1"/>
  <c r="AX376" i="1"/>
  <c r="AP376" i="1"/>
  <c r="AN376" i="1"/>
  <c r="AL376" i="1"/>
  <c r="AJ376" i="1"/>
  <c r="AG376" i="1"/>
  <c r="CW376" i="1" s="1"/>
  <c r="AF376" i="1"/>
  <c r="AB376" i="1"/>
  <c r="Z376" i="1"/>
  <c r="X376" i="1"/>
  <c r="V376" i="1"/>
  <c r="T376" i="1"/>
  <c r="R376" i="1"/>
  <c r="CW375" i="1"/>
  <c r="CT375" i="1"/>
  <c r="CR375" i="1"/>
  <c r="CP375" i="1"/>
  <c r="CN375" i="1"/>
  <c r="CL375" i="1"/>
  <c r="CH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B375" i="1"/>
  <c r="AZ375" i="1"/>
  <c r="AX375" i="1"/>
  <c r="AP375" i="1"/>
  <c r="AN375" i="1"/>
  <c r="AL375" i="1"/>
  <c r="AJ375" i="1"/>
  <c r="AH375" i="1"/>
  <c r="AF375" i="1"/>
  <c r="AB375" i="1"/>
  <c r="Z375" i="1"/>
  <c r="X375" i="1"/>
  <c r="V375" i="1"/>
  <c r="T375" i="1"/>
  <c r="R375" i="1"/>
  <c r="CT374" i="1"/>
  <c r="CR374" i="1"/>
  <c r="CP374" i="1"/>
  <c r="CN374" i="1"/>
  <c r="CL374" i="1"/>
  <c r="CH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B374" i="1"/>
  <c r="AZ374" i="1"/>
  <c r="AX374" i="1"/>
  <c r="AP374" i="1"/>
  <c r="AM374" i="1"/>
  <c r="AL374" i="1"/>
  <c r="AJ374" i="1"/>
  <c r="AH374" i="1"/>
  <c r="AF374" i="1"/>
  <c r="AB374" i="1"/>
  <c r="Y374" i="1"/>
  <c r="Z374" i="1" s="1"/>
  <c r="X374" i="1"/>
  <c r="V374" i="1"/>
  <c r="T374" i="1"/>
  <c r="R374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L373" i="1"/>
  <c r="BJ373" i="1"/>
  <c r="BH373" i="1"/>
  <c r="BF373" i="1"/>
  <c r="BD373" i="1"/>
  <c r="BB373" i="1"/>
  <c r="AZ373" i="1"/>
  <c r="AX373" i="1"/>
  <c r="AT373" i="1"/>
  <c r="AP373" i="1"/>
  <c r="AN373" i="1"/>
  <c r="AL373" i="1"/>
  <c r="AJ373" i="1"/>
  <c r="AG373" i="1"/>
  <c r="CW373" i="1" s="1"/>
  <c r="AF373" i="1"/>
  <c r="AB373" i="1"/>
  <c r="Z373" i="1"/>
  <c r="X373" i="1"/>
  <c r="V373" i="1"/>
  <c r="T373" i="1"/>
  <c r="R373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L372" i="1"/>
  <c r="BJ372" i="1"/>
  <c r="BH372" i="1"/>
  <c r="BF372" i="1"/>
  <c r="BD372" i="1"/>
  <c r="BB372" i="1"/>
  <c r="AZ372" i="1"/>
  <c r="AX372" i="1"/>
  <c r="AT372" i="1"/>
  <c r="AP372" i="1"/>
  <c r="AN372" i="1"/>
  <c r="AL372" i="1"/>
  <c r="AJ372" i="1"/>
  <c r="AH372" i="1"/>
  <c r="AF372" i="1"/>
  <c r="AB372" i="1"/>
  <c r="Y372" i="1"/>
  <c r="Z372" i="1" s="1"/>
  <c r="X372" i="1"/>
  <c r="V372" i="1"/>
  <c r="T372" i="1"/>
  <c r="R372" i="1"/>
  <c r="CV371" i="1"/>
  <c r="CT371" i="1"/>
  <c r="CR371" i="1"/>
  <c r="CP371" i="1"/>
  <c r="CN371" i="1"/>
  <c r="CL371" i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P371" i="1"/>
  <c r="AM371" i="1"/>
  <c r="AN371" i="1" s="1"/>
  <c r="AL371" i="1"/>
  <c r="AJ371" i="1"/>
  <c r="AG371" i="1"/>
  <c r="AH371" i="1" s="1"/>
  <c r="AF371" i="1"/>
  <c r="AB371" i="1"/>
  <c r="Y371" i="1"/>
  <c r="X371" i="1"/>
  <c r="V371" i="1"/>
  <c r="T371" i="1"/>
  <c r="R371" i="1"/>
  <c r="CV370" i="1"/>
  <c r="CT370" i="1"/>
  <c r="CR370" i="1"/>
  <c r="CP370" i="1"/>
  <c r="CN370" i="1"/>
  <c r="CL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P370" i="1"/>
  <c r="AN370" i="1"/>
  <c r="AL370" i="1"/>
  <c r="AJ370" i="1"/>
  <c r="AH370" i="1"/>
  <c r="AF370" i="1"/>
  <c r="AB370" i="1"/>
  <c r="Y370" i="1"/>
  <c r="CW370" i="1" s="1"/>
  <c r="X370" i="1"/>
  <c r="V370" i="1"/>
  <c r="T370" i="1"/>
  <c r="R370" i="1"/>
  <c r="CV369" i="1"/>
  <c r="CT369" i="1"/>
  <c r="CR369" i="1"/>
  <c r="CP369" i="1"/>
  <c r="CN369" i="1"/>
  <c r="CL369" i="1"/>
  <c r="CH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P369" i="1"/>
  <c r="AN369" i="1"/>
  <c r="AL369" i="1"/>
  <c r="AJ369" i="1"/>
  <c r="AG369" i="1"/>
  <c r="AH369" i="1" s="1"/>
  <c r="AF369" i="1"/>
  <c r="AB369" i="1"/>
  <c r="Z369" i="1"/>
  <c r="X369" i="1"/>
  <c r="U369" i="1"/>
  <c r="V369" i="1" s="1"/>
  <c r="S369" i="1"/>
  <c r="T369" i="1" s="1"/>
  <c r="R369" i="1"/>
  <c r="CW368" i="1"/>
  <c r="CT368" i="1"/>
  <c r="CR368" i="1"/>
  <c r="CN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P368" i="1"/>
  <c r="AN368" i="1"/>
  <c r="AL368" i="1"/>
  <c r="AJ368" i="1"/>
  <c r="AH368" i="1"/>
  <c r="AF368" i="1"/>
  <c r="AB368" i="1"/>
  <c r="Z368" i="1"/>
  <c r="X368" i="1"/>
  <c r="V368" i="1"/>
  <c r="T368" i="1"/>
  <c r="R368" i="1"/>
  <c r="CW367" i="1"/>
  <c r="CV367" i="1"/>
  <c r="CT367" i="1"/>
  <c r="CR367" i="1"/>
  <c r="CN367" i="1"/>
  <c r="CL367" i="1"/>
  <c r="CH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P367" i="1"/>
  <c r="AN367" i="1"/>
  <c r="AL367" i="1"/>
  <c r="AJ367" i="1"/>
  <c r="AH367" i="1"/>
  <c r="AF367" i="1"/>
  <c r="AB367" i="1"/>
  <c r="Z367" i="1"/>
  <c r="X367" i="1"/>
  <c r="V367" i="1"/>
  <c r="T367" i="1"/>
  <c r="R367" i="1"/>
  <c r="CW366" i="1"/>
  <c r="CV366" i="1"/>
  <c r="CT366" i="1"/>
  <c r="CR366" i="1"/>
  <c r="CN366" i="1"/>
  <c r="CL366" i="1"/>
  <c r="CH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X366" i="1"/>
  <c r="AV366" i="1"/>
  <c r="AT366" i="1"/>
  <c r="AP366" i="1"/>
  <c r="AN366" i="1"/>
  <c r="AL366" i="1"/>
  <c r="AJ366" i="1"/>
  <c r="AH366" i="1"/>
  <c r="AF366" i="1"/>
  <c r="AB366" i="1"/>
  <c r="Z366" i="1"/>
  <c r="X366" i="1"/>
  <c r="V366" i="1"/>
  <c r="T366" i="1"/>
  <c r="R366" i="1"/>
  <c r="CV365" i="1"/>
  <c r="CT365" i="1"/>
  <c r="CR365" i="1"/>
  <c r="CN365" i="1"/>
  <c r="CL365" i="1"/>
  <c r="CH365" i="1"/>
  <c r="CF365" i="1"/>
  <c r="CD365" i="1"/>
  <c r="CB365" i="1"/>
  <c r="BZ365" i="1"/>
  <c r="BX365" i="1"/>
  <c r="BV365" i="1"/>
  <c r="BT365" i="1"/>
  <c r="BR365" i="1"/>
  <c r="BP365" i="1"/>
  <c r="BN365" i="1"/>
  <c r="BL365" i="1"/>
  <c r="BJ365" i="1"/>
  <c r="BH365" i="1"/>
  <c r="BF365" i="1"/>
  <c r="BD365" i="1"/>
  <c r="BB365" i="1"/>
  <c r="AZ365" i="1"/>
  <c r="AX365" i="1"/>
  <c r="AV365" i="1"/>
  <c r="AT365" i="1"/>
  <c r="AP365" i="1"/>
  <c r="AN365" i="1"/>
  <c r="AL365" i="1"/>
  <c r="AJ365" i="1"/>
  <c r="AG365" i="1"/>
  <c r="CW365" i="1" s="1"/>
  <c r="AF365" i="1"/>
  <c r="AB365" i="1"/>
  <c r="Z365" i="1"/>
  <c r="X365" i="1"/>
  <c r="V365" i="1"/>
  <c r="T365" i="1"/>
  <c r="R365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W364" i="1"/>
  <c r="AU364" i="1"/>
  <c r="AS364" i="1"/>
  <c r="AO364" i="1"/>
  <c r="AK364" i="1"/>
  <c r="AI364" i="1"/>
  <c r="AE364" i="1"/>
  <c r="AD364" i="1"/>
  <c r="AC364" i="1"/>
  <c r="AA364" i="1"/>
  <c r="W364" i="1"/>
  <c r="Q364" i="1"/>
  <c r="CW363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L363" i="1"/>
  <c r="BJ363" i="1"/>
  <c r="BH363" i="1"/>
  <c r="BF363" i="1"/>
  <c r="BD363" i="1"/>
  <c r="BB363" i="1"/>
  <c r="AZ363" i="1"/>
  <c r="AX363" i="1"/>
  <c r="AT363" i="1"/>
  <c r="AP363" i="1"/>
  <c r="AN363" i="1"/>
  <c r="AL363" i="1"/>
  <c r="AJ363" i="1"/>
  <c r="AH363" i="1"/>
  <c r="AF363" i="1"/>
  <c r="AB363" i="1"/>
  <c r="Z363" i="1"/>
  <c r="X363" i="1"/>
  <c r="V363" i="1"/>
  <c r="T363" i="1"/>
  <c r="R363" i="1"/>
  <c r="CW362" i="1"/>
  <c r="CT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L362" i="1"/>
  <c r="BJ362" i="1"/>
  <c r="BH362" i="1"/>
  <c r="BF362" i="1"/>
  <c r="BD362" i="1"/>
  <c r="BB362" i="1"/>
  <c r="AZ362" i="1"/>
  <c r="AX362" i="1"/>
  <c r="AT362" i="1"/>
  <c r="AP362" i="1"/>
  <c r="AN362" i="1"/>
  <c r="AL362" i="1"/>
  <c r="AJ362" i="1"/>
  <c r="AH362" i="1"/>
  <c r="AF362" i="1"/>
  <c r="AB362" i="1"/>
  <c r="Z362" i="1"/>
  <c r="X362" i="1"/>
  <c r="V362" i="1"/>
  <c r="T362" i="1"/>
  <c r="R362" i="1"/>
  <c r="CW361" i="1"/>
  <c r="CT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B361" i="1"/>
  <c r="AZ361" i="1"/>
  <c r="AX361" i="1"/>
  <c r="AP361" i="1"/>
  <c r="AN361" i="1"/>
  <c r="AL361" i="1"/>
  <c r="AJ361" i="1"/>
  <c r="AH361" i="1"/>
  <c r="AF361" i="1"/>
  <c r="AB361" i="1"/>
  <c r="Z361" i="1"/>
  <c r="X361" i="1"/>
  <c r="V361" i="1"/>
  <c r="T361" i="1"/>
  <c r="R361" i="1"/>
  <c r="CW360" i="1"/>
  <c r="CV360" i="1"/>
  <c r="CT360" i="1"/>
  <c r="CR360" i="1"/>
  <c r="CP360" i="1"/>
  <c r="CN360" i="1"/>
  <c r="CL360" i="1"/>
  <c r="CH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P360" i="1"/>
  <c r="AN360" i="1"/>
  <c r="AL360" i="1"/>
  <c r="AJ360" i="1"/>
  <c r="AH360" i="1"/>
  <c r="AF360" i="1"/>
  <c r="AB360" i="1"/>
  <c r="Z360" i="1"/>
  <c r="X360" i="1"/>
  <c r="V360" i="1"/>
  <c r="T360" i="1"/>
  <c r="R360" i="1"/>
  <c r="CW359" i="1"/>
  <c r="CV359" i="1"/>
  <c r="CT359" i="1"/>
  <c r="CR359" i="1"/>
  <c r="CP359" i="1"/>
  <c r="CN359" i="1"/>
  <c r="CL359" i="1"/>
  <c r="CH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P359" i="1"/>
  <c r="AN359" i="1"/>
  <c r="AL359" i="1"/>
  <c r="AJ359" i="1"/>
  <c r="AH359" i="1"/>
  <c r="AF359" i="1"/>
  <c r="AB359" i="1"/>
  <c r="Z359" i="1"/>
  <c r="X359" i="1"/>
  <c r="V359" i="1"/>
  <c r="T359" i="1"/>
  <c r="R359" i="1"/>
  <c r="CW358" i="1"/>
  <c r="CT358" i="1"/>
  <c r="CR358" i="1"/>
  <c r="CP358" i="1"/>
  <c r="CN358" i="1"/>
  <c r="CL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B358" i="1"/>
  <c r="AZ358" i="1"/>
  <c r="AX358" i="1"/>
  <c r="AP358" i="1"/>
  <c r="AN358" i="1"/>
  <c r="AL358" i="1"/>
  <c r="AJ358" i="1"/>
  <c r="AH358" i="1"/>
  <c r="AF358" i="1"/>
  <c r="AB358" i="1"/>
  <c r="Z358" i="1"/>
  <c r="X358" i="1"/>
  <c r="V358" i="1"/>
  <c r="T358" i="1"/>
  <c r="R358" i="1"/>
  <c r="CV357" i="1"/>
  <c r="CT357" i="1"/>
  <c r="CR357" i="1"/>
  <c r="CP357" i="1"/>
  <c r="CN357" i="1"/>
  <c r="CL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P357" i="1"/>
  <c r="AN357" i="1"/>
  <c r="AK357" i="1"/>
  <c r="CW357" i="1" s="1"/>
  <c r="AJ357" i="1"/>
  <c r="AH357" i="1"/>
  <c r="AF357" i="1"/>
  <c r="AB357" i="1"/>
  <c r="Z357" i="1"/>
  <c r="X357" i="1"/>
  <c r="V357" i="1"/>
  <c r="T357" i="1"/>
  <c r="R357" i="1"/>
  <c r="CW356" i="1"/>
  <c r="CT356" i="1"/>
  <c r="CR356" i="1"/>
  <c r="CN356" i="1"/>
  <c r="CL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B356" i="1"/>
  <c r="AZ356" i="1"/>
  <c r="AX356" i="1"/>
  <c r="AP356" i="1"/>
  <c r="AN356" i="1"/>
  <c r="AL356" i="1"/>
  <c r="AJ356" i="1"/>
  <c r="AH356" i="1"/>
  <c r="AF356" i="1"/>
  <c r="AB356" i="1"/>
  <c r="Z356" i="1"/>
  <c r="X356" i="1"/>
  <c r="V356" i="1"/>
  <c r="T356" i="1"/>
  <c r="R356" i="1"/>
  <c r="CW355" i="1"/>
  <c r="CT355" i="1"/>
  <c r="CR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P355" i="1"/>
  <c r="AN355" i="1"/>
  <c r="AL355" i="1"/>
  <c r="AJ355" i="1"/>
  <c r="AH355" i="1"/>
  <c r="AF355" i="1"/>
  <c r="AB355" i="1"/>
  <c r="Z355" i="1"/>
  <c r="X355" i="1"/>
  <c r="V355" i="1"/>
  <c r="T355" i="1"/>
  <c r="R355" i="1"/>
  <c r="CW354" i="1"/>
  <c r="CT354" i="1"/>
  <c r="CR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P354" i="1"/>
  <c r="AN354" i="1"/>
  <c r="AL354" i="1"/>
  <c r="AJ354" i="1"/>
  <c r="AH354" i="1"/>
  <c r="AF354" i="1"/>
  <c r="AB354" i="1"/>
  <c r="Z354" i="1"/>
  <c r="X354" i="1"/>
  <c r="V354" i="1"/>
  <c r="T354" i="1"/>
  <c r="R354" i="1"/>
  <c r="CW353" i="1"/>
  <c r="CT353" i="1"/>
  <c r="CR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P353" i="1"/>
  <c r="AN353" i="1"/>
  <c r="AL353" i="1"/>
  <c r="AJ353" i="1"/>
  <c r="AH353" i="1"/>
  <c r="AF353" i="1"/>
  <c r="AB353" i="1"/>
  <c r="Z353" i="1"/>
  <c r="X353" i="1"/>
  <c r="V353" i="1"/>
  <c r="T353" i="1"/>
  <c r="R353" i="1"/>
  <c r="CT352" i="1"/>
  <c r="CR352" i="1"/>
  <c r="CN352" i="1"/>
  <c r="CL352" i="1"/>
  <c r="CJ352" i="1"/>
  <c r="CH352" i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P352" i="1"/>
  <c r="AN352" i="1"/>
  <c r="AL352" i="1"/>
  <c r="AJ352" i="1"/>
  <c r="AH352" i="1"/>
  <c r="AF352" i="1"/>
  <c r="AB352" i="1"/>
  <c r="Z352" i="1"/>
  <c r="X352" i="1"/>
  <c r="V352" i="1"/>
  <c r="S352" i="1"/>
  <c r="CW352" i="1" s="1"/>
  <c r="R352" i="1"/>
  <c r="CV351" i="1"/>
  <c r="CT351" i="1"/>
  <c r="CR351" i="1"/>
  <c r="CP351" i="1"/>
  <c r="CN351" i="1"/>
  <c r="CL351" i="1"/>
  <c r="CH351" i="1"/>
  <c r="CF351" i="1"/>
  <c r="CD351" i="1"/>
  <c r="CB351" i="1"/>
  <c r="BZ351" i="1"/>
  <c r="BX351" i="1"/>
  <c r="BV351" i="1"/>
  <c r="BT351" i="1"/>
  <c r="BR351" i="1"/>
  <c r="BP351" i="1"/>
  <c r="BN351" i="1"/>
  <c r="BL351" i="1"/>
  <c r="BJ351" i="1"/>
  <c r="BH351" i="1"/>
  <c r="BF351" i="1"/>
  <c r="BD351" i="1"/>
  <c r="BB351" i="1"/>
  <c r="AZ351" i="1"/>
  <c r="AX351" i="1"/>
  <c r="AV351" i="1"/>
  <c r="AT351" i="1"/>
  <c r="AT350" i="1" s="1"/>
  <c r="AP351" i="1"/>
  <c r="AN351" i="1"/>
  <c r="AK351" i="1"/>
  <c r="CW351" i="1" s="1"/>
  <c r="AJ351" i="1"/>
  <c r="AH351" i="1"/>
  <c r="AF351" i="1"/>
  <c r="AB351" i="1"/>
  <c r="Z351" i="1"/>
  <c r="X351" i="1"/>
  <c r="V351" i="1"/>
  <c r="T351" i="1"/>
  <c r="R351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O350" i="1"/>
  <c r="AM350" i="1"/>
  <c r="AI350" i="1"/>
  <c r="AG350" i="1"/>
  <c r="AE350" i="1"/>
  <c r="AD350" i="1"/>
  <c r="AC350" i="1"/>
  <c r="AA350" i="1"/>
  <c r="Y350" i="1"/>
  <c r="W350" i="1"/>
  <c r="U350" i="1"/>
  <c r="Q350" i="1"/>
  <c r="CW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L349" i="1"/>
  <c r="BJ349" i="1"/>
  <c r="BH349" i="1"/>
  <c r="BF349" i="1"/>
  <c r="BD349" i="1"/>
  <c r="BB349" i="1"/>
  <c r="AZ349" i="1"/>
  <c r="AX349" i="1"/>
  <c r="AT349" i="1"/>
  <c r="AP349" i="1"/>
  <c r="AN349" i="1"/>
  <c r="AL349" i="1"/>
  <c r="AJ349" i="1"/>
  <c r="AH349" i="1"/>
  <c r="AF349" i="1"/>
  <c r="AB349" i="1"/>
  <c r="Z349" i="1"/>
  <c r="X349" i="1"/>
  <c r="V349" i="1"/>
  <c r="T349" i="1"/>
  <c r="R349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L348" i="1"/>
  <c r="BJ348" i="1"/>
  <c r="BH348" i="1"/>
  <c r="BF348" i="1"/>
  <c r="BD348" i="1"/>
  <c r="BD344" i="1" s="1"/>
  <c r="BB348" i="1"/>
  <c r="AZ348" i="1"/>
  <c r="AX348" i="1"/>
  <c r="AT348" i="1"/>
  <c r="AP348" i="1"/>
  <c r="AN348" i="1"/>
  <c r="AL348" i="1"/>
  <c r="AJ348" i="1"/>
  <c r="AH348" i="1"/>
  <c r="AF348" i="1"/>
  <c r="AB348" i="1"/>
  <c r="Y348" i="1"/>
  <c r="Z348" i="1" s="1"/>
  <c r="X348" i="1"/>
  <c r="V348" i="1"/>
  <c r="T348" i="1"/>
  <c r="R348" i="1"/>
  <c r="CT347" i="1"/>
  <c r="CR347" i="1"/>
  <c r="CP347" i="1"/>
  <c r="CN347" i="1"/>
  <c r="CL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B347" i="1"/>
  <c r="AZ347" i="1"/>
  <c r="AX347" i="1"/>
  <c r="AP347" i="1"/>
  <c r="AN347" i="1"/>
  <c r="AL347" i="1"/>
  <c r="AJ347" i="1"/>
  <c r="AH347" i="1"/>
  <c r="AF347" i="1"/>
  <c r="AB347" i="1"/>
  <c r="Y347" i="1"/>
  <c r="CW347" i="1" s="1"/>
  <c r="X347" i="1"/>
  <c r="V347" i="1"/>
  <c r="T347" i="1"/>
  <c r="R347" i="1"/>
  <c r="CW346" i="1"/>
  <c r="CT346" i="1"/>
  <c r="CR346" i="1"/>
  <c r="CP346" i="1"/>
  <c r="CN346" i="1"/>
  <c r="CL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B346" i="1"/>
  <c r="AZ346" i="1"/>
  <c r="AX346" i="1"/>
  <c r="AP346" i="1"/>
  <c r="AN346" i="1"/>
  <c r="AL346" i="1"/>
  <c r="AJ346" i="1"/>
  <c r="AH346" i="1"/>
  <c r="AF346" i="1"/>
  <c r="AB346" i="1"/>
  <c r="Z346" i="1"/>
  <c r="X346" i="1"/>
  <c r="V346" i="1"/>
  <c r="T346" i="1"/>
  <c r="R346" i="1"/>
  <c r="CW345" i="1"/>
  <c r="CT345" i="1"/>
  <c r="CR345" i="1"/>
  <c r="CP345" i="1"/>
  <c r="CN345" i="1"/>
  <c r="CN344" i="1" s="1"/>
  <c r="CL345" i="1"/>
  <c r="CH345" i="1"/>
  <c r="CF345" i="1"/>
  <c r="CD345" i="1"/>
  <c r="CB345" i="1"/>
  <c r="BZ345" i="1"/>
  <c r="BX345" i="1"/>
  <c r="BV345" i="1"/>
  <c r="BV344" i="1" s="1"/>
  <c r="BT345" i="1"/>
  <c r="BR345" i="1"/>
  <c r="BP345" i="1"/>
  <c r="BN345" i="1"/>
  <c r="BL345" i="1"/>
  <c r="BJ345" i="1"/>
  <c r="BH345" i="1"/>
  <c r="BF345" i="1"/>
  <c r="BB345" i="1"/>
  <c r="AZ345" i="1"/>
  <c r="AX345" i="1"/>
  <c r="AP345" i="1"/>
  <c r="AN345" i="1"/>
  <c r="AL345" i="1"/>
  <c r="AJ345" i="1"/>
  <c r="AH345" i="1"/>
  <c r="AF345" i="1"/>
  <c r="AB345" i="1"/>
  <c r="Z345" i="1"/>
  <c r="X345" i="1"/>
  <c r="V345" i="1"/>
  <c r="T345" i="1"/>
  <c r="R345" i="1"/>
  <c r="CV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V344" i="1"/>
  <c r="AU344" i="1"/>
  <c r="AT344" i="1"/>
  <c r="AS344" i="1"/>
  <c r="AO344" i="1"/>
  <c r="AM344" i="1"/>
  <c r="AK344" i="1"/>
  <c r="AI344" i="1"/>
  <c r="AG344" i="1"/>
  <c r="AE344" i="1"/>
  <c r="AD344" i="1"/>
  <c r="AC344" i="1"/>
  <c r="AA344" i="1"/>
  <c r="W344" i="1"/>
  <c r="U344" i="1"/>
  <c r="S344" i="1"/>
  <c r="Q344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P343" i="1"/>
  <c r="AN343" i="1"/>
  <c r="AL343" i="1"/>
  <c r="AJ343" i="1"/>
  <c r="AH343" i="1"/>
  <c r="AF343" i="1"/>
  <c r="AB343" i="1"/>
  <c r="Y343" i="1"/>
  <c r="CW343" i="1" s="1"/>
  <c r="X343" i="1"/>
  <c r="V343" i="1"/>
  <c r="T343" i="1"/>
  <c r="R343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P342" i="1"/>
  <c r="AN342" i="1"/>
  <c r="AL342" i="1"/>
  <c r="AJ342" i="1"/>
  <c r="AG342" i="1"/>
  <c r="CW342" i="1" s="1"/>
  <c r="AF342" i="1"/>
  <c r="AB342" i="1"/>
  <c r="Z342" i="1"/>
  <c r="X342" i="1"/>
  <c r="V342" i="1"/>
  <c r="T342" i="1"/>
  <c r="R342" i="1"/>
  <c r="CT341" i="1"/>
  <c r="CR341" i="1"/>
  <c r="CP341" i="1"/>
  <c r="CN341" i="1"/>
  <c r="CL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B341" i="1"/>
  <c r="AZ341" i="1"/>
  <c r="AX341" i="1"/>
  <c r="AP341" i="1"/>
  <c r="AN341" i="1"/>
  <c r="AL341" i="1"/>
  <c r="AJ341" i="1"/>
  <c r="AG341" i="1"/>
  <c r="CW341" i="1" s="1"/>
  <c r="AF341" i="1"/>
  <c r="AB341" i="1"/>
  <c r="Z341" i="1"/>
  <c r="X341" i="1"/>
  <c r="V341" i="1"/>
  <c r="T341" i="1"/>
  <c r="R341" i="1"/>
  <c r="CT340" i="1"/>
  <c r="CR340" i="1"/>
  <c r="CN340" i="1"/>
  <c r="CL340" i="1"/>
  <c r="CH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B340" i="1"/>
  <c r="AZ340" i="1"/>
  <c r="AX340" i="1"/>
  <c r="AP340" i="1"/>
  <c r="AN340" i="1"/>
  <c r="AL340" i="1"/>
  <c r="AJ340" i="1"/>
  <c r="AG340" i="1"/>
  <c r="CW340" i="1" s="1"/>
  <c r="AF340" i="1"/>
  <c r="AB340" i="1"/>
  <c r="Z340" i="1"/>
  <c r="X340" i="1"/>
  <c r="V340" i="1"/>
  <c r="T340" i="1"/>
  <c r="R340" i="1"/>
  <c r="CT339" i="1"/>
  <c r="CR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P339" i="1"/>
  <c r="AN339" i="1"/>
  <c r="AL339" i="1"/>
  <c r="AJ339" i="1"/>
  <c r="AG339" i="1"/>
  <c r="CW339" i="1" s="1"/>
  <c r="AF339" i="1"/>
  <c r="AB339" i="1"/>
  <c r="Z339" i="1"/>
  <c r="X339" i="1"/>
  <c r="V339" i="1"/>
  <c r="T339" i="1"/>
  <c r="R339" i="1"/>
  <c r="CW338" i="1"/>
  <c r="CV338" i="1"/>
  <c r="CT338" i="1"/>
  <c r="CR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P338" i="1"/>
  <c r="AN338" i="1"/>
  <c r="AL338" i="1"/>
  <c r="AJ338" i="1"/>
  <c r="AH338" i="1"/>
  <c r="AF338" i="1"/>
  <c r="AB338" i="1"/>
  <c r="Z338" i="1"/>
  <c r="X338" i="1"/>
  <c r="V338" i="1"/>
  <c r="T338" i="1"/>
  <c r="R338" i="1"/>
  <c r="CW337" i="1"/>
  <c r="CV337" i="1"/>
  <c r="CT337" i="1"/>
  <c r="CR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P337" i="1"/>
  <c r="AN337" i="1"/>
  <c r="AL337" i="1"/>
  <c r="AJ337" i="1"/>
  <c r="AH337" i="1"/>
  <c r="AF337" i="1"/>
  <c r="AB337" i="1"/>
  <c r="Z337" i="1"/>
  <c r="X337" i="1"/>
  <c r="V337" i="1"/>
  <c r="T337" i="1"/>
  <c r="R337" i="1"/>
  <c r="CW336" i="1"/>
  <c r="CT336" i="1"/>
  <c r="CR336" i="1"/>
  <c r="CN336" i="1"/>
  <c r="CL336" i="1"/>
  <c r="CH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B336" i="1"/>
  <c r="AZ336" i="1"/>
  <c r="AX336" i="1"/>
  <c r="AP336" i="1"/>
  <c r="AN336" i="1"/>
  <c r="AL336" i="1"/>
  <c r="AJ336" i="1"/>
  <c r="AH336" i="1"/>
  <c r="AF336" i="1"/>
  <c r="AB336" i="1"/>
  <c r="Z336" i="1"/>
  <c r="X336" i="1"/>
  <c r="V336" i="1"/>
  <c r="T336" i="1"/>
  <c r="R336" i="1"/>
  <c r="CT335" i="1"/>
  <c r="CR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L335" i="1"/>
  <c r="BJ335" i="1"/>
  <c r="BH335" i="1"/>
  <c r="BF335" i="1"/>
  <c r="BD335" i="1"/>
  <c r="BB335" i="1"/>
  <c r="AZ335" i="1"/>
  <c r="AX335" i="1"/>
  <c r="AT335" i="1"/>
  <c r="AP335" i="1"/>
  <c r="AN335" i="1"/>
  <c r="AL335" i="1"/>
  <c r="AJ335" i="1"/>
  <c r="AG335" i="1"/>
  <c r="AH335" i="1" s="1"/>
  <c r="AE335" i="1"/>
  <c r="AF335" i="1" s="1"/>
  <c r="AB335" i="1"/>
  <c r="Z335" i="1"/>
  <c r="X335" i="1"/>
  <c r="V335" i="1"/>
  <c r="T335" i="1"/>
  <c r="R335" i="1"/>
  <c r="CW334" i="1"/>
  <c r="CT334" i="1"/>
  <c r="CR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L334" i="1"/>
  <c r="BJ334" i="1"/>
  <c r="BH334" i="1"/>
  <c r="BF334" i="1"/>
  <c r="BD334" i="1"/>
  <c r="BB334" i="1"/>
  <c r="AZ334" i="1"/>
  <c r="AX334" i="1"/>
  <c r="AT334" i="1"/>
  <c r="AP334" i="1"/>
  <c r="AN334" i="1"/>
  <c r="AL334" i="1"/>
  <c r="AJ334" i="1"/>
  <c r="AH334" i="1"/>
  <c r="AF334" i="1"/>
  <c r="AB334" i="1"/>
  <c r="Z334" i="1"/>
  <c r="X334" i="1"/>
  <c r="V334" i="1"/>
  <c r="T334" i="1"/>
  <c r="R334" i="1"/>
  <c r="CW333" i="1"/>
  <c r="CV333" i="1"/>
  <c r="CT333" i="1"/>
  <c r="CR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P333" i="1"/>
  <c r="AN333" i="1"/>
  <c r="AL333" i="1"/>
  <c r="AJ333" i="1"/>
  <c r="AH333" i="1"/>
  <c r="AF333" i="1"/>
  <c r="AB333" i="1"/>
  <c r="Z333" i="1"/>
  <c r="X333" i="1"/>
  <c r="V333" i="1"/>
  <c r="T333" i="1"/>
  <c r="R333" i="1"/>
  <c r="CW332" i="1"/>
  <c r="CT332" i="1"/>
  <c r="CR332" i="1"/>
  <c r="CN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P332" i="1"/>
  <c r="AN332" i="1"/>
  <c r="AL332" i="1"/>
  <c r="AJ332" i="1"/>
  <c r="AH332" i="1"/>
  <c r="AF332" i="1"/>
  <c r="AB332" i="1"/>
  <c r="Z332" i="1"/>
  <c r="X332" i="1"/>
  <c r="V332" i="1"/>
  <c r="T332" i="1"/>
  <c r="R332" i="1"/>
  <c r="CW331" i="1"/>
  <c r="CV331" i="1"/>
  <c r="CT331" i="1"/>
  <c r="CR331" i="1"/>
  <c r="CN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P331" i="1"/>
  <c r="AN331" i="1"/>
  <c r="AL331" i="1"/>
  <c r="AJ331" i="1"/>
  <c r="AH331" i="1"/>
  <c r="AF331" i="1"/>
  <c r="AB331" i="1"/>
  <c r="Z331" i="1"/>
  <c r="X331" i="1"/>
  <c r="V331" i="1"/>
  <c r="T331" i="1"/>
  <c r="R331" i="1"/>
  <c r="CT330" i="1"/>
  <c r="CR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P330" i="1"/>
  <c r="AN330" i="1"/>
  <c r="AL330" i="1"/>
  <c r="AJ330" i="1"/>
  <c r="AG330" i="1"/>
  <c r="AH330" i="1" s="1"/>
  <c r="AF330" i="1"/>
  <c r="AB330" i="1"/>
  <c r="Z330" i="1"/>
  <c r="X330" i="1"/>
  <c r="V330" i="1"/>
  <c r="S330" i="1"/>
  <c r="CW330" i="1" s="1"/>
  <c r="R330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O329" i="1"/>
  <c r="AM329" i="1"/>
  <c r="AK329" i="1"/>
  <c r="AI329" i="1"/>
  <c r="AD329" i="1"/>
  <c r="AC329" i="1"/>
  <c r="AA329" i="1"/>
  <c r="Y329" i="1"/>
  <c r="W329" i="1"/>
  <c r="U329" i="1"/>
  <c r="Q329" i="1"/>
  <c r="CW328" i="1"/>
  <c r="CW327" i="1" s="1"/>
  <c r="CV328" i="1"/>
  <c r="CV327" i="1" s="1"/>
  <c r="CT328" i="1"/>
  <c r="CT327" i="1" s="1"/>
  <c r="CR328" i="1"/>
  <c r="CR327" i="1" s="1"/>
  <c r="CN328" i="1"/>
  <c r="CN327" i="1" s="1"/>
  <c r="CL328" i="1"/>
  <c r="CL327" i="1" s="1"/>
  <c r="CJ328" i="1"/>
  <c r="CJ327" i="1" s="1"/>
  <c r="CH328" i="1"/>
  <c r="CH327" i="1" s="1"/>
  <c r="CF328" i="1"/>
  <c r="CF327" i="1" s="1"/>
  <c r="CD328" i="1"/>
  <c r="CD327" i="1" s="1"/>
  <c r="CB328" i="1"/>
  <c r="CB327" i="1" s="1"/>
  <c r="BZ328" i="1"/>
  <c r="BZ327" i="1" s="1"/>
  <c r="BX328" i="1"/>
  <c r="BX327" i="1" s="1"/>
  <c r="BV328" i="1"/>
  <c r="BV327" i="1" s="1"/>
  <c r="BT328" i="1"/>
  <c r="BT327" i="1" s="1"/>
  <c r="BR328" i="1"/>
  <c r="BR327" i="1" s="1"/>
  <c r="BP328" i="1"/>
  <c r="BP327" i="1" s="1"/>
  <c r="BN328" i="1"/>
  <c r="BN327" i="1" s="1"/>
  <c r="BL328" i="1"/>
  <c r="BL327" i="1" s="1"/>
  <c r="BJ328" i="1"/>
  <c r="BJ327" i="1" s="1"/>
  <c r="BH328" i="1"/>
  <c r="BH327" i="1" s="1"/>
  <c r="BF328" i="1"/>
  <c r="BF327" i="1" s="1"/>
  <c r="BD328" i="1"/>
  <c r="BD327" i="1" s="1"/>
  <c r="BB328" i="1"/>
  <c r="BB327" i="1" s="1"/>
  <c r="AZ328" i="1"/>
  <c r="AZ327" i="1" s="1"/>
  <c r="AX328" i="1"/>
  <c r="AX327" i="1" s="1"/>
  <c r="AV328" i="1"/>
  <c r="AV327" i="1" s="1"/>
  <c r="AT328" i="1"/>
  <c r="AT327" i="1" s="1"/>
  <c r="AP328" i="1"/>
  <c r="AP327" i="1" s="1"/>
  <c r="AN328" i="1"/>
  <c r="AN327" i="1" s="1"/>
  <c r="AL328" i="1"/>
  <c r="AL327" i="1" s="1"/>
  <c r="AJ328" i="1"/>
  <c r="AJ327" i="1" s="1"/>
  <c r="AH328" i="1"/>
  <c r="AH327" i="1" s="1"/>
  <c r="AF328" i="1"/>
  <c r="AF327" i="1" s="1"/>
  <c r="AB328" i="1"/>
  <c r="AB327" i="1" s="1"/>
  <c r="Z328" i="1"/>
  <c r="X328" i="1"/>
  <c r="X327" i="1" s="1"/>
  <c r="V328" i="1"/>
  <c r="V327" i="1" s="1"/>
  <c r="T328" i="1"/>
  <c r="T327" i="1" s="1"/>
  <c r="R328" i="1"/>
  <c r="R327" i="1" s="1"/>
  <c r="CU327" i="1"/>
  <c r="CS327" i="1"/>
  <c r="CQ327" i="1"/>
  <c r="CP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O327" i="1"/>
  <c r="AM327" i="1"/>
  <c r="AK327" i="1"/>
  <c r="AI327" i="1"/>
  <c r="AG327" i="1"/>
  <c r="AE327" i="1"/>
  <c r="AD327" i="1"/>
  <c r="AC327" i="1"/>
  <c r="AA327" i="1"/>
  <c r="Y327" i="1"/>
  <c r="W327" i="1"/>
  <c r="U327" i="1"/>
  <c r="S327" i="1"/>
  <c r="Q327" i="1"/>
  <c r="CW326" i="1"/>
  <c r="CT326" i="1"/>
  <c r="CR326" i="1"/>
  <c r="CP326" i="1"/>
  <c r="CP314" i="1" s="1"/>
  <c r="CN326" i="1"/>
  <c r="CL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B326" i="1"/>
  <c r="AZ326" i="1"/>
  <c r="AX326" i="1"/>
  <c r="AP326" i="1"/>
  <c r="AN326" i="1"/>
  <c r="AL326" i="1"/>
  <c r="AJ326" i="1"/>
  <c r="AH326" i="1"/>
  <c r="AF326" i="1"/>
  <c r="AB326" i="1"/>
  <c r="Z326" i="1"/>
  <c r="X326" i="1"/>
  <c r="V326" i="1"/>
  <c r="T326" i="1"/>
  <c r="R326" i="1"/>
  <c r="CW325" i="1"/>
  <c r="CT325" i="1"/>
  <c r="CR325" i="1"/>
  <c r="CN325" i="1"/>
  <c r="CL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B325" i="1"/>
  <c r="AZ325" i="1"/>
  <c r="AX325" i="1"/>
  <c r="AP325" i="1"/>
  <c r="AN325" i="1"/>
  <c r="AL325" i="1"/>
  <c r="AJ325" i="1"/>
  <c r="AH325" i="1"/>
  <c r="AF325" i="1"/>
  <c r="AB325" i="1"/>
  <c r="Z325" i="1"/>
  <c r="X325" i="1"/>
  <c r="V325" i="1"/>
  <c r="T325" i="1"/>
  <c r="R325" i="1"/>
  <c r="CW324" i="1"/>
  <c r="CT324" i="1"/>
  <c r="CR324" i="1"/>
  <c r="CN324" i="1"/>
  <c r="CL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B324" i="1"/>
  <c r="AZ324" i="1"/>
  <c r="AX324" i="1"/>
  <c r="AP324" i="1"/>
  <c r="AN324" i="1"/>
  <c r="AL324" i="1"/>
  <c r="AJ324" i="1"/>
  <c r="AH324" i="1"/>
  <c r="AF324" i="1"/>
  <c r="AB324" i="1"/>
  <c r="Z324" i="1"/>
  <c r="X324" i="1"/>
  <c r="V324" i="1"/>
  <c r="T324" i="1"/>
  <c r="R324" i="1"/>
  <c r="CW323" i="1"/>
  <c r="CT323" i="1"/>
  <c r="CR323" i="1"/>
  <c r="CN323" i="1"/>
  <c r="CL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B323" i="1"/>
  <c r="AZ323" i="1"/>
  <c r="AX323" i="1"/>
  <c r="AP323" i="1"/>
  <c r="AN323" i="1"/>
  <c r="AL323" i="1"/>
  <c r="AJ323" i="1"/>
  <c r="AH323" i="1"/>
  <c r="AF323" i="1"/>
  <c r="AB323" i="1"/>
  <c r="Z323" i="1"/>
  <c r="X323" i="1"/>
  <c r="V323" i="1"/>
  <c r="T323" i="1"/>
  <c r="R323" i="1"/>
  <c r="CV322" i="1"/>
  <c r="CT322" i="1"/>
  <c r="CR322" i="1"/>
  <c r="CN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P322" i="1"/>
  <c r="AM322" i="1"/>
  <c r="AL322" i="1"/>
  <c r="AJ322" i="1"/>
  <c r="AH322" i="1"/>
  <c r="AF322" i="1"/>
  <c r="AB322" i="1"/>
  <c r="Z322" i="1"/>
  <c r="X322" i="1"/>
  <c r="V322" i="1"/>
  <c r="T322" i="1"/>
  <c r="R322" i="1"/>
  <c r="CW321" i="1"/>
  <c r="CT321" i="1"/>
  <c r="CR321" i="1"/>
  <c r="CN321" i="1"/>
  <c r="CL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B321" i="1"/>
  <c r="AZ321" i="1"/>
  <c r="AX321" i="1"/>
  <c r="AP321" i="1"/>
  <c r="AN321" i="1"/>
  <c r="AL321" i="1"/>
  <c r="AJ321" i="1"/>
  <c r="AH321" i="1"/>
  <c r="AF321" i="1"/>
  <c r="AB321" i="1"/>
  <c r="Z321" i="1"/>
  <c r="X321" i="1"/>
  <c r="V321" i="1"/>
  <c r="T321" i="1"/>
  <c r="R321" i="1"/>
  <c r="CW320" i="1"/>
  <c r="CV320" i="1"/>
  <c r="CT320" i="1"/>
  <c r="CR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P320" i="1"/>
  <c r="AN320" i="1"/>
  <c r="AL320" i="1"/>
  <c r="AJ320" i="1"/>
  <c r="AH320" i="1"/>
  <c r="AF320" i="1"/>
  <c r="AB320" i="1"/>
  <c r="Z320" i="1"/>
  <c r="X320" i="1"/>
  <c r="V320" i="1"/>
  <c r="T320" i="1"/>
  <c r="R320" i="1"/>
  <c r="CW319" i="1"/>
  <c r="CV319" i="1"/>
  <c r="CT319" i="1"/>
  <c r="CR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P319" i="1"/>
  <c r="AN319" i="1"/>
  <c r="AL319" i="1"/>
  <c r="AJ319" i="1"/>
  <c r="AH319" i="1"/>
  <c r="AF319" i="1"/>
  <c r="AB319" i="1"/>
  <c r="Z319" i="1"/>
  <c r="X319" i="1"/>
  <c r="V319" i="1"/>
  <c r="T319" i="1"/>
  <c r="R319" i="1"/>
  <c r="CW318" i="1"/>
  <c r="CV318" i="1"/>
  <c r="CT318" i="1"/>
  <c r="CR318" i="1"/>
  <c r="CN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P318" i="1"/>
  <c r="AN318" i="1"/>
  <c r="AL318" i="1"/>
  <c r="AJ318" i="1"/>
  <c r="AH318" i="1"/>
  <c r="AF318" i="1"/>
  <c r="AB318" i="1"/>
  <c r="Z318" i="1"/>
  <c r="X318" i="1"/>
  <c r="V318" i="1"/>
  <c r="T318" i="1"/>
  <c r="R318" i="1"/>
  <c r="CT317" i="1"/>
  <c r="CR317" i="1"/>
  <c r="CN317" i="1"/>
  <c r="CL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B317" i="1"/>
  <c r="AZ317" i="1"/>
  <c r="AX317" i="1"/>
  <c r="AP317" i="1"/>
  <c r="AN317" i="1"/>
  <c r="AK317" i="1"/>
  <c r="CW317" i="1" s="1"/>
  <c r="AJ317" i="1"/>
  <c r="AH317" i="1"/>
  <c r="AF317" i="1"/>
  <c r="AB317" i="1"/>
  <c r="Z317" i="1"/>
  <c r="X317" i="1"/>
  <c r="V317" i="1"/>
  <c r="T317" i="1"/>
  <c r="R317" i="1"/>
  <c r="CW316" i="1"/>
  <c r="CV316" i="1"/>
  <c r="CT316" i="1"/>
  <c r="CR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P316" i="1"/>
  <c r="AN316" i="1"/>
  <c r="AL316" i="1"/>
  <c r="AJ316" i="1"/>
  <c r="AH316" i="1"/>
  <c r="AF316" i="1"/>
  <c r="AB316" i="1"/>
  <c r="Z316" i="1"/>
  <c r="X316" i="1"/>
  <c r="V316" i="1"/>
  <c r="T316" i="1"/>
  <c r="R316" i="1"/>
  <c r="CW315" i="1"/>
  <c r="CV315" i="1"/>
  <c r="CT315" i="1"/>
  <c r="CR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P315" i="1"/>
  <c r="AN315" i="1"/>
  <c r="AL315" i="1"/>
  <c r="AJ315" i="1"/>
  <c r="AH315" i="1"/>
  <c r="AF315" i="1"/>
  <c r="AB315" i="1"/>
  <c r="Z315" i="1"/>
  <c r="X315" i="1"/>
  <c r="V315" i="1"/>
  <c r="T315" i="1"/>
  <c r="R315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O314" i="1"/>
  <c r="AI314" i="1"/>
  <c r="AG314" i="1"/>
  <c r="AE314" i="1"/>
  <c r="AD314" i="1"/>
  <c r="AC314" i="1"/>
  <c r="AA314" i="1"/>
  <c r="Y314" i="1"/>
  <c r="W314" i="1"/>
  <c r="U314" i="1"/>
  <c r="S314" i="1"/>
  <c r="Q314" i="1"/>
  <c r="CW313" i="1"/>
  <c r="CV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P313" i="1"/>
  <c r="AN313" i="1"/>
  <c r="AL313" i="1"/>
  <c r="AJ313" i="1"/>
  <c r="AH313" i="1"/>
  <c r="AF313" i="1"/>
  <c r="AB313" i="1"/>
  <c r="Z313" i="1"/>
  <c r="X313" i="1"/>
  <c r="V313" i="1"/>
  <c r="T313" i="1"/>
  <c r="R313" i="1"/>
  <c r="CW312" i="1"/>
  <c r="CV312" i="1"/>
  <c r="CT312" i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P312" i="1"/>
  <c r="AN312" i="1"/>
  <c r="AL312" i="1"/>
  <c r="AJ312" i="1"/>
  <c r="AH312" i="1"/>
  <c r="AF312" i="1"/>
  <c r="AB312" i="1"/>
  <c r="Z312" i="1"/>
  <c r="X312" i="1"/>
  <c r="V312" i="1"/>
  <c r="T312" i="1"/>
  <c r="R312" i="1"/>
  <c r="CT311" i="1"/>
  <c r="CR311" i="1"/>
  <c r="CN311" i="1"/>
  <c r="CL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B311" i="1"/>
  <c r="AZ311" i="1"/>
  <c r="AX311" i="1"/>
  <c r="AP311" i="1"/>
  <c r="AN311" i="1"/>
  <c r="AL311" i="1"/>
  <c r="AJ311" i="1"/>
  <c r="AH311" i="1"/>
  <c r="AE311" i="1"/>
  <c r="AE309" i="1" s="1"/>
  <c r="AB311" i="1"/>
  <c r="Z311" i="1"/>
  <c r="X311" i="1"/>
  <c r="V311" i="1"/>
  <c r="T311" i="1"/>
  <c r="R311" i="1"/>
  <c r="CW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P310" i="1"/>
  <c r="AN310" i="1"/>
  <c r="AL310" i="1"/>
  <c r="AJ310" i="1"/>
  <c r="AH310" i="1"/>
  <c r="AF310" i="1"/>
  <c r="AB310" i="1"/>
  <c r="Z310" i="1"/>
  <c r="X310" i="1"/>
  <c r="V310" i="1"/>
  <c r="T310" i="1"/>
  <c r="R310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O309" i="1"/>
  <c r="AM309" i="1"/>
  <c r="AK309" i="1"/>
  <c r="AI309" i="1"/>
  <c r="AG309" i="1"/>
  <c r="AD309" i="1"/>
  <c r="AC309" i="1"/>
  <c r="AA309" i="1"/>
  <c r="Y309" i="1"/>
  <c r="W309" i="1"/>
  <c r="U309" i="1"/>
  <c r="S309" i="1"/>
  <c r="Q309" i="1"/>
  <c r="CW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P308" i="1"/>
  <c r="AN308" i="1"/>
  <c r="AL308" i="1"/>
  <c r="AJ308" i="1"/>
  <c r="AH308" i="1"/>
  <c r="AF308" i="1"/>
  <c r="AB308" i="1"/>
  <c r="Z308" i="1"/>
  <c r="X308" i="1"/>
  <c r="V308" i="1"/>
  <c r="T308" i="1"/>
  <c r="R308" i="1"/>
  <c r="CT307" i="1"/>
  <c r="CR307" i="1"/>
  <c r="CN307" i="1"/>
  <c r="CL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B307" i="1"/>
  <c r="AZ307" i="1"/>
  <c r="AX307" i="1"/>
  <c r="AP307" i="1"/>
  <c r="AN307" i="1"/>
  <c r="AK307" i="1"/>
  <c r="AJ307" i="1"/>
  <c r="AH307" i="1"/>
  <c r="AE307" i="1"/>
  <c r="AB307" i="1"/>
  <c r="Z307" i="1"/>
  <c r="X307" i="1"/>
  <c r="V307" i="1"/>
  <c r="T307" i="1"/>
  <c r="R307" i="1"/>
  <c r="CT306" i="1"/>
  <c r="CR306" i="1"/>
  <c r="CN306" i="1"/>
  <c r="CL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B306" i="1"/>
  <c r="AZ306" i="1"/>
  <c r="AX306" i="1"/>
  <c r="AP306" i="1"/>
  <c r="AN306" i="1"/>
  <c r="AK306" i="1"/>
  <c r="AL306" i="1" s="1"/>
  <c r="AJ306" i="1"/>
  <c r="AH306" i="1"/>
  <c r="AE306" i="1"/>
  <c r="AB306" i="1"/>
  <c r="Z306" i="1"/>
  <c r="X306" i="1"/>
  <c r="V306" i="1"/>
  <c r="T306" i="1"/>
  <c r="R306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P305" i="1"/>
  <c r="AN305" i="1"/>
  <c r="AL305" i="1"/>
  <c r="AJ305" i="1"/>
  <c r="AH305" i="1"/>
  <c r="AF305" i="1"/>
  <c r="AB305" i="1"/>
  <c r="Y305" i="1"/>
  <c r="X305" i="1"/>
  <c r="V305" i="1"/>
  <c r="T305" i="1"/>
  <c r="R305" i="1"/>
  <c r="CW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P304" i="1"/>
  <c r="AN304" i="1"/>
  <c r="AL304" i="1"/>
  <c r="AJ304" i="1"/>
  <c r="AH304" i="1"/>
  <c r="AF304" i="1"/>
  <c r="AB304" i="1"/>
  <c r="Z304" i="1"/>
  <c r="X304" i="1"/>
  <c r="V304" i="1"/>
  <c r="T304" i="1"/>
  <c r="R304" i="1"/>
  <c r="CW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P303" i="1"/>
  <c r="AN303" i="1"/>
  <c r="AL303" i="1"/>
  <c r="AJ303" i="1"/>
  <c r="AH303" i="1"/>
  <c r="AF303" i="1"/>
  <c r="AB303" i="1"/>
  <c r="Z303" i="1"/>
  <c r="X303" i="1"/>
  <c r="V303" i="1"/>
  <c r="T303" i="1"/>
  <c r="R303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O302" i="1"/>
  <c r="AM302" i="1"/>
  <c r="AI302" i="1"/>
  <c r="AG302" i="1"/>
  <c r="AD302" i="1"/>
  <c r="AC302" i="1"/>
  <c r="AA302" i="1"/>
  <c r="W302" i="1"/>
  <c r="U302" i="1"/>
  <c r="S302" i="1"/>
  <c r="Q302" i="1"/>
  <c r="CW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P301" i="1"/>
  <c r="AN301" i="1"/>
  <c r="AL301" i="1"/>
  <c r="AJ301" i="1"/>
  <c r="AH301" i="1"/>
  <c r="AF301" i="1"/>
  <c r="AB301" i="1"/>
  <c r="Z301" i="1"/>
  <c r="X301" i="1"/>
  <c r="V301" i="1"/>
  <c r="T301" i="1"/>
  <c r="R301" i="1"/>
  <c r="CW300" i="1"/>
  <c r="CV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L300" i="1"/>
  <c r="BJ300" i="1"/>
  <c r="BH300" i="1"/>
  <c r="BF300" i="1"/>
  <c r="BD300" i="1"/>
  <c r="BB300" i="1"/>
  <c r="AZ300" i="1"/>
  <c r="AX300" i="1"/>
  <c r="AV300" i="1"/>
  <c r="AT300" i="1"/>
  <c r="AP300" i="1"/>
  <c r="AN300" i="1"/>
  <c r="AL300" i="1"/>
  <c r="AJ300" i="1"/>
  <c r="AH300" i="1"/>
  <c r="AF300" i="1"/>
  <c r="AB300" i="1"/>
  <c r="Z300" i="1"/>
  <c r="X300" i="1"/>
  <c r="V300" i="1"/>
  <c r="T300" i="1"/>
  <c r="R300" i="1"/>
  <c r="CW299" i="1"/>
  <c r="CV299" i="1"/>
  <c r="CT299" i="1"/>
  <c r="CR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P299" i="1"/>
  <c r="AN299" i="1"/>
  <c r="AL299" i="1"/>
  <c r="AJ299" i="1"/>
  <c r="AH299" i="1"/>
  <c r="AF299" i="1"/>
  <c r="AB299" i="1"/>
  <c r="Z299" i="1"/>
  <c r="X299" i="1"/>
  <c r="V299" i="1"/>
  <c r="T299" i="1"/>
  <c r="R299" i="1"/>
  <c r="CW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P298" i="1"/>
  <c r="AN298" i="1"/>
  <c r="AL298" i="1"/>
  <c r="AJ298" i="1"/>
  <c r="AH298" i="1"/>
  <c r="AF298" i="1"/>
  <c r="AB298" i="1"/>
  <c r="Z298" i="1"/>
  <c r="X298" i="1"/>
  <c r="V298" i="1"/>
  <c r="T298" i="1"/>
  <c r="R298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O297" i="1"/>
  <c r="AM297" i="1"/>
  <c r="AK297" i="1"/>
  <c r="AI297" i="1"/>
  <c r="AG297" i="1"/>
  <c r="AE297" i="1"/>
  <c r="AD297" i="1"/>
  <c r="AC297" i="1"/>
  <c r="AA297" i="1"/>
  <c r="Y297" i="1"/>
  <c r="W297" i="1"/>
  <c r="U297" i="1"/>
  <c r="S297" i="1"/>
  <c r="Q297" i="1"/>
  <c r="CW296" i="1"/>
  <c r="CF296" i="1"/>
  <c r="BF296" i="1"/>
  <c r="AH296" i="1"/>
  <c r="AD296" i="1"/>
  <c r="CW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P294" i="1"/>
  <c r="AN294" i="1"/>
  <c r="AL294" i="1"/>
  <c r="AJ294" i="1"/>
  <c r="AG294" i="1"/>
  <c r="CW294" i="1" s="1"/>
  <c r="AF294" i="1"/>
  <c r="AD294" i="1"/>
  <c r="AB294" i="1"/>
  <c r="Z294" i="1"/>
  <c r="X294" i="1"/>
  <c r="V294" i="1"/>
  <c r="T294" i="1"/>
  <c r="R294" i="1"/>
  <c r="CW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CW292" i="1"/>
  <c r="CT292" i="1"/>
  <c r="CR292" i="1"/>
  <c r="CP292" i="1"/>
  <c r="CN292" i="1"/>
  <c r="CL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B292" i="1"/>
  <c r="AZ292" i="1"/>
  <c r="AX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CW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L291" i="1"/>
  <c r="BJ291" i="1"/>
  <c r="BH291" i="1"/>
  <c r="BF291" i="1"/>
  <c r="BD291" i="1"/>
  <c r="BB291" i="1"/>
  <c r="AZ291" i="1"/>
  <c r="AX291" i="1"/>
  <c r="AT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CW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CW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V287" i="1" s="1"/>
  <c r="AT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CV288" i="1"/>
  <c r="CT288" i="1"/>
  <c r="CT287" i="1" s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P288" i="1"/>
  <c r="AN288" i="1"/>
  <c r="AL288" i="1"/>
  <c r="AJ288" i="1"/>
  <c r="AG288" i="1"/>
  <c r="AG287" i="1" s="1"/>
  <c r="AF288" i="1"/>
  <c r="AD288" i="1"/>
  <c r="AB288" i="1"/>
  <c r="Z288" i="1"/>
  <c r="X288" i="1"/>
  <c r="V288" i="1"/>
  <c r="T288" i="1"/>
  <c r="R288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O287" i="1"/>
  <c r="AM287" i="1"/>
  <c r="AK287" i="1"/>
  <c r="AI287" i="1"/>
  <c r="AE287" i="1"/>
  <c r="AC287" i="1"/>
  <c r="AA287" i="1"/>
  <c r="Y287" i="1"/>
  <c r="W287" i="1"/>
  <c r="U287" i="1"/>
  <c r="S287" i="1"/>
  <c r="Q287" i="1"/>
  <c r="CW286" i="1"/>
  <c r="BN286" i="1"/>
  <c r="BF286" i="1"/>
  <c r="AP286" i="1"/>
  <c r="AN286" i="1"/>
  <c r="AL286" i="1"/>
  <c r="AJ286" i="1"/>
  <c r="AH286" i="1"/>
  <c r="AF286" i="1"/>
  <c r="AB286" i="1"/>
  <c r="Z286" i="1"/>
  <c r="X286" i="1"/>
  <c r="V286" i="1"/>
  <c r="R286" i="1"/>
  <c r="CW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P285" i="1"/>
  <c r="AN285" i="1"/>
  <c r="AL285" i="1"/>
  <c r="AJ285" i="1"/>
  <c r="AH285" i="1"/>
  <c r="AF285" i="1"/>
  <c r="AB285" i="1"/>
  <c r="Z285" i="1"/>
  <c r="X285" i="1"/>
  <c r="V285" i="1"/>
  <c r="T285" i="1"/>
  <c r="R285" i="1"/>
  <c r="CW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L284" i="1"/>
  <c r="BJ284" i="1"/>
  <c r="BH284" i="1"/>
  <c r="BF284" i="1"/>
  <c r="BD284" i="1"/>
  <c r="BB284" i="1"/>
  <c r="AZ284" i="1"/>
  <c r="AX284" i="1"/>
  <c r="AP284" i="1"/>
  <c r="AN284" i="1"/>
  <c r="AL284" i="1"/>
  <c r="AJ284" i="1"/>
  <c r="AH284" i="1"/>
  <c r="AF284" i="1"/>
  <c r="AB284" i="1"/>
  <c r="Z284" i="1"/>
  <c r="X284" i="1"/>
  <c r="V284" i="1"/>
  <c r="T284" i="1"/>
  <c r="R284" i="1"/>
  <c r="CW283" i="1"/>
  <c r="CT283" i="1"/>
  <c r="CR283" i="1"/>
  <c r="CP283" i="1"/>
  <c r="CN283" i="1"/>
  <c r="CL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B283" i="1"/>
  <c r="AZ283" i="1"/>
  <c r="AX283" i="1"/>
  <c r="AP283" i="1"/>
  <c r="AN283" i="1"/>
  <c r="AL283" i="1"/>
  <c r="AJ283" i="1"/>
  <c r="AH283" i="1"/>
  <c r="AF283" i="1"/>
  <c r="AB283" i="1"/>
  <c r="Z283" i="1"/>
  <c r="X283" i="1"/>
  <c r="V283" i="1"/>
  <c r="T283" i="1"/>
  <c r="R283" i="1"/>
  <c r="CW282" i="1"/>
  <c r="CT282" i="1"/>
  <c r="CR282" i="1"/>
  <c r="CP282" i="1"/>
  <c r="CN282" i="1"/>
  <c r="CL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B282" i="1"/>
  <c r="AZ282" i="1"/>
  <c r="AX282" i="1"/>
  <c r="AP282" i="1"/>
  <c r="AN282" i="1"/>
  <c r="AL282" i="1"/>
  <c r="AJ282" i="1"/>
  <c r="AH282" i="1"/>
  <c r="AF282" i="1"/>
  <c r="AB282" i="1"/>
  <c r="Z282" i="1"/>
  <c r="X282" i="1"/>
  <c r="V282" i="1"/>
  <c r="T282" i="1"/>
  <c r="R282" i="1"/>
  <c r="CW281" i="1"/>
  <c r="CT281" i="1"/>
  <c r="CR281" i="1"/>
  <c r="CP281" i="1"/>
  <c r="CN281" i="1"/>
  <c r="CL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B281" i="1"/>
  <c r="AZ281" i="1"/>
  <c r="AX281" i="1"/>
  <c r="AP281" i="1"/>
  <c r="AN281" i="1"/>
  <c r="AL281" i="1"/>
  <c r="AJ281" i="1"/>
  <c r="AH281" i="1"/>
  <c r="AF281" i="1"/>
  <c r="AB281" i="1"/>
  <c r="Z281" i="1"/>
  <c r="X281" i="1"/>
  <c r="V281" i="1"/>
  <c r="T281" i="1"/>
  <c r="R281" i="1"/>
  <c r="CW280" i="1"/>
  <c r="CV280" i="1"/>
  <c r="CT280" i="1"/>
  <c r="CR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P280" i="1"/>
  <c r="AN280" i="1"/>
  <c r="AL280" i="1"/>
  <c r="AJ280" i="1"/>
  <c r="AH280" i="1"/>
  <c r="AF280" i="1"/>
  <c r="AB280" i="1"/>
  <c r="Z280" i="1"/>
  <c r="X280" i="1"/>
  <c r="V280" i="1"/>
  <c r="T280" i="1"/>
  <c r="R280" i="1"/>
  <c r="CW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P279" i="1"/>
  <c r="AN279" i="1"/>
  <c r="AL279" i="1"/>
  <c r="AJ279" i="1"/>
  <c r="AH279" i="1"/>
  <c r="AF279" i="1"/>
  <c r="AB279" i="1"/>
  <c r="Z279" i="1"/>
  <c r="X279" i="1"/>
  <c r="V279" i="1"/>
  <c r="T279" i="1"/>
  <c r="R279" i="1"/>
  <c r="CW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P278" i="1"/>
  <c r="AN278" i="1"/>
  <c r="AL278" i="1"/>
  <c r="AJ278" i="1"/>
  <c r="AH278" i="1"/>
  <c r="AF278" i="1"/>
  <c r="AB278" i="1"/>
  <c r="Z278" i="1"/>
  <c r="X278" i="1"/>
  <c r="V278" i="1"/>
  <c r="T278" i="1"/>
  <c r="R278" i="1"/>
  <c r="CW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P277" i="1"/>
  <c r="AN277" i="1"/>
  <c r="AL277" i="1"/>
  <c r="AJ277" i="1"/>
  <c r="AH277" i="1"/>
  <c r="AF277" i="1"/>
  <c r="AB277" i="1"/>
  <c r="Z277" i="1"/>
  <c r="X277" i="1"/>
  <c r="V277" i="1"/>
  <c r="T277" i="1"/>
  <c r="R277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N276" i="1"/>
  <c r="BM276" i="1"/>
  <c r="BK276" i="1"/>
  <c r="BI276" i="1"/>
  <c r="BG276" i="1"/>
  <c r="BE276" i="1"/>
  <c r="BC276" i="1"/>
  <c r="BA276" i="1"/>
  <c r="AY276" i="1"/>
  <c r="AW276" i="1"/>
  <c r="AU276" i="1"/>
  <c r="AS276" i="1"/>
  <c r="AO276" i="1"/>
  <c r="AM276" i="1"/>
  <c r="AK276" i="1"/>
  <c r="AI276" i="1"/>
  <c r="AG276" i="1"/>
  <c r="AE276" i="1"/>
  <c r="AD276" i="1"/>
  <c r="AC276" i="1"/>
  <c r="AA276" i="1"/>
  <c r="Y276" i="1"/>
  <c r="W276" i="1"/>
  <c r="U276" i="1"/>
  <c r="S276" i="1"/>
  <c r="Q276" i="1"/>
  <c r="CW275" i="1"/>
  <c r="CT275" i="1"/>
  <c r="CR275" i="1"/>
  <c r="CP275" i="1"/>
  <c r="CN275" i="1"/>
  <c r="CH275" i="1"/>
  <c r="CF275" i="1"/>
  <c r="CD275" i="1"/>
  <c r="CB275" i="1"/>
  <c r="BZ275" i="1"/>
  <c r="BX275" i="1"/>
  <c r="BT275" i="1"/>
  <c r="BP275" i="1"/>
  <c r="BN275" i="1"/>
  <c r="BL275" i="1"/>
  <c r="BJ275" i="1"/>
  <c r="BH275" i="1"/>
  <c r="BF275" i="1"/>
  <c r="BD275" i="1"/>
  <c r="BB275" i="1"/>
  <c r="AZ275" i="1"/>
  <c r="AX275" i="1"/>
  <c r="AP275" i="1"/>
  <c r="AN275" i="1"/>
  <c r="AL275" i="1"/>
  <c r="AJ275" i="1"/>
  <c r="AH275" i="1"/>
  <c r="AF275" i="1"/>
  <c r="AB275" i="1"/>
  <c r="Z275" i="1"/>
  <c r="X275" i="1"/>
  <c r="V275" i="1"/>
  <c r="T275" i="1"/>
  <c r="R275" i="1"/>
  <c r="CW274" i="1"/>
  <c r="CT274" i="1"/>
  <c r="CR274" i="1"/>
  <c r="CP274" i="1"/>
  <c r="CN274" i="1"/>
  <c r="CH274" i="1"/>
  <c r="CF274" i="1"/>
  <c r="CD274" i="1"/>
  <c r="CB274" i="1"/>
  <c r="BZ274" i="1"/>
  <c r="BX274" i="1"/>
  <c r="BT274" i="1"/>
  <c r="BP274" i="1"/>
  <c r="BN274" i="1"/>
  <c r="BL274" i="1"/>
  <c r="BJ274" i="1"/>
  <c r="BH274" i="1"/>
  <c r="BF274" i="1"/>
  <c r="BD274" i="1"/>
  <c r="BB274" i="1"/>
  <c r="AZ274" i="1"/>
  <c r="AX274" i="1"/>
  <c r="AP274" i="1"/>
  <c r="AN274" i="1"/>
  <c r="AL274" i="1"/>
  <c r="AJ274" i="1"/>
  <c r="AH274" i="1"/>
  <c r="AF274" i="1"/>
  <c r="AB274" i="1"/>
  <c r="Z274" i="1"/>
  <c r="X274" i="1"/>
  <c r="V274" i="1"/>
  <c r="T274" i="1"/>
  <c r="R274" i="1"/>
  <c r="AM273" i="1"/>
  <c r="AN273" i="1" s="1"/>
  <c r="AL273" i="1"/>
  <c r="AJ273" i="1"/>
  <c r="Y273" i="1"/>
  <c r="Z273" i="1" s="1"/>
  <c r="AM272" i="1"/>
  <c r="AN272" i="1" s="1"/>
  <c r="AL272" i="1"/>
  <c r="AJ272" i="1"/>
  <c r="Y272" i="1"/>
  <c r="AM271" i="1"/>
  <c r="AN271" i="1" s="1"/>
  <c r="AL271" i="1"/>
  <c r="AJ271" i="1"/>
  <c r="Y271" i="1"/>
  <c r="Z271" i="1" s="1"/>
  <c r="CT270" i="1"/>
  <c r="CR270" i="1"/>
  <c r="CP270" i="1"/>
  <c r="CN270" i="1"/>
  <c r="CH270" i="1"/>
  <c r="CF270" i="1"/>
  <c r="CD270" i="1"/>
  <c r="CB270" i="1"/>
  <c r="BZ270" i="1"/>
  <c r="BX270" i="1"/>
  <c r="BT270" i="1"/>
  <c r="BP270" i="1"/>
  <c r="BN270" i="1"/>
  <c r="BL270" i="1"/>
  <c r="BJ270" i="1"/>
  <c r="BH270" i="1"/>
  <c r="BF270" i="1"/>
  <c r="BD270" i="1"/>
  <c r="BB270" i="1"/>
  <c r="AZ270" i="1"/>
  <c r="AX270" i="1"/>
  <c r="AP270" i="1"/>
  <c r="AM270" i="1"/>
  <c r="AN270" i="1" s="1"/>
  <c r="AL270" i="1"/>
  <c r="AJ270" i="1"/>
  <c r="AH270" i="1"/>
  <c r="AF270" i="1"/>
  <c r="AB270" i="1"/>
  <c r="Z270" i="1"/>
  <c r="X270" i="1"/>
  <c r="V270" i="1"/>
  <c r="T270" i="1"/>
  <c r="R270" i="1"/>
  <c r="CW269" i="1"/>
  <c r="CT269" i="1"/>
  <c r="CR269" i="1"/>
  <c r="CP269" i="1"/>
  <c r="CN269" i="1"/>
  <c r="CH269" i="1"/>
  <c r="CF269" i="1"/>
  <c r="CD269" i="1"/>
  <c r="CB269" i="1"/>
  <c r="BZ269" i="1"/>
  <c r="BX269" i="1"/>
  <c r="BT269" i="1"/>
  <c r="BP269" i="1"/>
  <c r="BN269" i="1"/>
  <c r="BL269" i="1"/>
  <c r="BJ269" i="1"/>
  <c r="BH269" i="1"/>
  <c r="BF269" i="1"/>
  <c r="BD269" i="1"/>
  <c r="BB269" i="1"/>
  <c r="AZ269" i="1"/>
  <c r="AX269" i="1"/>
  <c r="AP269" i="1"/>
  <c r="AN269" i="1"/>
  <c r="AL269" i="1"/>
  <c r="AJ269" i="1"/>
  <c r="AH269" i="1"/>
  <c r="AF269" i="1"/>
  <c r="AB269" i="1"/>
  <c r="Z269" i="1"/>
  <c r="X269" i="1"/>
  <c r="V269" i="1"/>
  <c r="T269" i="1"/>
  <c r="R269" i="1"/>
  <c r="AM268" i="1"/>
  <c r="AN268" i="1" s="1"/>
  <c r="AL268" i="1"/>
  <c r="AJ268" i="1"/>
  <c r="Y268" i="1"/>
  <c r="Z268" i="1" s="1"/>
  <c r="AM267" i="1"/>
  <c r="AN267" i="1" s="1"/>
  <c r="AL267" i="1"/>
  <c r="AJ267" i="1"/>
  <c r="Y267" i="1"/>
  <c r="Z267" i="1" s="1"/>
  <c r="CT266" i="1"/>
  <c r="CR266" i="1"/>
  <c r="CP266" i="1"/>
  <c r="CN266" i="1"/>
  <c r="CH266" i="1"/>
  <c r="CF266" i="1"/>
  <c r="CD266" i="1"/>
  <c r="CB266" i="1"/>
  <c r="BZ266" i="1"/>
  <c r="BX266" i="1"/>
  <c r="BT266" i="1"/>
  <c r="BP266" i="1"/>
  <c r="BN266" i="1"/>
  <c r="BL266" i="1"/>
  <c r="BJ266" i="1"/>
  <c r="BH266" i="1"/>
  <c r="BF266" i="1"/>
  <c r="BD266" i="1"/>
  <c r="BB266" i="1"/>
  <c r="AZ266" i="1"/>
  <c r="AX266" i="1"/>
  <c r="AP266" i="1"/>
  <c r="AM266" i="1"/>
  <c r="AN266" i="1" s="1"/>
  <c r="AL266" i="1"/>
  <c r="AJ266" i="1"/>
  <c r="AH266" i="1"/>
  <c r="AF266" i="1"/>
  <c r="AB266" i="1"/>
  <c r="Y266" i="1"/>
  <c r="Z266" i="1" s="1"/>
  <c r="X266" i="1"/>
  <c r="V266" i="1"/>
  <c r="T266" i="1"/>
  <c r="R266" i="1"/>
  <c r="CT265" i="1"/>
  <c r="CR265" i="1"/>
  <c r="CP265" i="1"/>
  <c r="CN265" i="1"/>
  <c r="CH265" i="1"/>
  <c r="CF265" i="1"/>
  <c r="CD265" i="1"/>
  <c r="CB265" i="1"/>
  <c r="BZ265" i="1"/>
  <c r="BX265" i="1"/>
  <c r="BT265" i="1"/>
  <c r="BP265" i="1"/>
  <c r="BN265" i="1"/>
  <c r="BL265" i="1"/>
  <c r="BJ265" i="1"/>
  <c r="BH265" i="1"/>
  <c r="BF265" i="1"/>
  <c r="BD265" i="1"/>
  <c r="BB265" i="1"/>
  <c r="AZ265" i="1"/>
  <c r="AX265" i="1"/>
  <c r="AP265" i="1"/>
  <c r="AM265" i="1"/>
  <c r="AN265" i="1" s="1"/>
  <c r="AL265" i="1"/>
  <c r="AJ265" i="1"/>
  <c r="AH265" i="1"/>
  <c r="AF265" i="1"/>
  <c r="AB265" i="1"/>
  <c r="Y265" i="1"/>
  <c r="CW265" i="1" s="1"/>
  <c r="X265" i="1"/>
  <c r="V265" i="1"/>
  <c r="T265" i="1"/>
  <c r="R265" i="1"/>
  <c r="AM264" i="1"/>
  <c r="AN264" i="1" s="1"/>
  <c r="AL264" i="1"/>
  <c r="AJ264" i="1"/>
  <c r="Y264" i="1"/>
  <c r="Z264" i="1" s="1"/>
  <c r="AM263" i="1"/>
  <c r="AN263" i="1" s="1"/>
  <c r="AL263" i="1"/>
  <c r="AJ263" i="1"/>
  <c r="Y263" i="1"/>
  <c r="Z263" i="1" s="1"/>
  <c r="CT262" i="1"/>
  <c r="CR262" i="1"/>
  <c r="CP262" i="1"/>
  <c r="CN262" i="1"/>
  <c r="CH262" i="1"/>
  <c r="CF262" i="1"/>
  <c r="CD262" i="1"/>
  <c r="CB262" i="1"/>
  <c r="BZ262" i="1"/>
  <c r="BX262" i="1"/>
  <c r="BT262" i="1"/>
  <c r="BP262" i="1"/>
  <c r="BN262" i="1"/>
  <c r="BL262" i="1"/>
  <c r="BJ262" i="1"/>
  <c r="BH262" i="1"/>
  <c r="BF262" i="1"/>
  <c r="BD262" i="1"/>
  <c r="BB262" i="1"/>
  <c r="AZ262" i="1"/>
  <c r="AX262" i="1"/>
  <c r="AP262" i="1"/>
  <c r="AM262" i="1"/>
  <c r="AN262" i="1" s="1"/>
  <c r="AL262" i="1"/>
  <c r="AJ262" i="1"/>
  <c r="AH262" i="1"/>
  <c r="AF262" i="1"/>
  <c r="AB262" i="1"/>
  <c r="Z262" i="1"/>
  <c r="X262" i="1"/>
  <c r="V262" i="1"/>
  <c r="T262" i="1"/>
  <c r="R262" i="1"/>
  <c r="CT261" i="1"/>
  <c r="CR261" i="1"/>
  <c r="CP261" i="1"/>
  <c r="CN261" i="1"/>
  <c r="CH261" i="1"/>
  <c r="CF261" i="1"/>
  <c r="CD261" i="1"/>
  <c r="CB261" i="1"/>
  <c r="BZ261" i="1"/>
  <c r="BX261" i="1"/>
  <c r="BT261" i="1"/>
  <c r="BP261" i="1"/>
  <c r="BN261" i="1"/>
  <c r="BL261" i="1"/>
  <c r="BJ261" i="1"/>
  <c r="BH261" i="1"/>
  <c r="BF261" i="1"/>
  <c r="BD261" i="1"/>
  <c r="BB261" i="1"/>
  <c r="AZ261" i="1"/>
  <c r="AX261" i="1"/>
  <c r="AP261" i="1"/>
  <c r="AN261" i="1"/>
  <c r="AL261" i="1"/>
  <c r="AJ261" i="1"/>
  <c r="AH261" i="1"/>
  <c r="AF261" i="1"/>
  <c r="AB261" i="1"/>
  <c r="Y261" i="1"/>
  <c r="Z261" i="1" s="1"/>
  <c r="X261" i="1"/>
  <c r="V261" i="1"/>
  <c r="T261" i="1"/>
  <c r="R261" i="1"/>
  <c r="CW260" i="1"/>
  <c r="CT260" i="1"/>
  <c r="CR260" i="1"/>
  <c r="CP260" i="1"/>
  <c r="CN260" i="1"/>
  <c r="CH260" i="1"/>
  <c r="CF260" i="1"/>
  <c r="CD260" i="1"/>
  <c r="CB260" i="1"/>
  <c r="BZ260" i="1"/>
  <c r="BX260" i="1"/>
  <c r="BT260" i="1"/>
  <c r="BP260" i="1"/>
  <c r="BN260" i="1"/>
  <c r="BL260" i="1"/>
  <c r="BJ260" i="1"/>
  <c r="BH260" i="1"/>
  <c r="BF260" i="1"/>
  <c r="BD260" i="1"/>
  <c r="BB260" i="1"/>
  <c r="AZ260" i="1"/>
  <c r="AX260" i="1"/>
  <c r="AP260" i="1"/>
  <c r="AN260" i="1"/>
  <c r="AL260" i="1"/>
  <c r="AJ260" i="1"/>
  <c r="AH260" i="1"/>
  <c r="AF260" i="1"/>
  <c r="AB260" i="1"/>
  <c r="Z260" i="1"/>
  <c r="X260" i="1"/>
  <c r="V260" i="1"/>
  <c r="T260" i="1"/>
  <c r="R260" i="1"/>
  <c r="CT259" i="1"/>
  <c r="CR259" i="1"/>
  <c r="CP259" i="1"/>
  <c r="CN259" i="1"/>
  <c r="CH259" i="1"/>
  <c r="CF259" i="1"/>
  <c r="CD259" i="1"/>
  <c r="CB259" i="1"/>
  <c r="BZ259" i="1"/>
  <c r="BX259" i="1"/>
  <c r="BT259" i="1"/>
  <c r="BP259" i="1"/>
  <c r="BN259" i="1"/>
  <c r="BL259" i="1"/>
  <c r="BJ259" i="1"/>
  <c r="BH259" i="1"/>
  <c r="BF259" i="1"/>
  <c r="BD259" i="1"/>
  <c r="BB259" i="1"/>
  <c r="AZ259" i="1"/>
  <c r="AX259" i="1"/>
  <c r="AP259" i="1"/>
  <c r="AN259" i="1"/>
  <c r="AL259" i="1"/>
  <c r="AJ259" i="1"/>
  <c r="AH259" i="1"/>
  <c r="AF259" i="1"/>
  <c r="AB259" i="1"/>
  <c r="Y259" i="1"/>
  <c r="CW259" i="1" s="1"/>
  <c r="X259" i="1"/>
  <c r="V259" i="1"/>
  <c r="T259" i="1"/>
  <c r="R259" i="1"/>
  <c r="AM258" i="1"/>
  <c r="AN258" i="1" s="1"/>
  <c r="AL258" i="1"/>
  <c r="AJ258" i="1"/>
  <c r="Y258" i="1"/>
  <c r="Z258" i="1" s="1"/>
  <c r="AM257" i="1"/>
  <c r="AN257" i="1" s="1"/>
  <c r="AL257" i="1"/>
  <c r="AJ257" i="1"/>
  <c r="Y257" i="1"/>
  <c r="Z257" i="1" s="1"/>
  <c r="CT256" i="1"/>
  <c r="CR256" i="1"/>
  <c r="CP256" i="1"/>
  <c r="CN256" i="1"/>
  <c r="CH256" i="1"/>
  <c r="CF256" i="1"/>
  <c r="CD256" i="1"/>
  <c r="CB256" i="1"/>
  <c r="BZ256" i="1"/>
  <c r="BX256" i="1"/>
  <c r="BT256" i="1"/>
  <c r="BP256" i="1"/>
  <c r="BN256" i="1"/>
  <c r="BL256" i="1"/>
  <c r="BJ256" i="1"/>
  <c r="BH256" i="1"/>
  <c r="BF256" i="1"/>
  <c r="BD256" i="1"/>
  <c r="BB256" i="1"/>
  <c r="AZ256" i="1"/>
  <c r="AX256" i="1"/>
  <c r="AP256" i="1"/>
  <c r="AM256" i="1"/>
  <c r="AN256" i="1" s="1"/>
  <c r="AL256" i="1"/>
  <c r="AJ256" i="1"/>
  <c r="AH256" i="1"/>
  <c r="AF256" i="1"/>
  <c r="AB256" i="1"/>
  <c r="Y256" i="1"/>
  <c r="CW256" i="1" s="1"/>
  <c r="X256" i="1"/>
  <c r="V256" i="1"/>
  <c r="T256" i="1"/>
  <c r="R256" i="1"/>
  <c r="AM255" i="1"/>
  <c r="AN255" i="1" s="1"/>
  <c r="AL255" i="1"/>
  <c r="AJ255" i="1"/>
  <c r="Y255" i="1"/>
  <c r="Z255" i="1" s="1"/>
  <c r="AM254" i="1"/>
  <c r="AN254" i="1" s="1"/>
  <c r="AL254" i="1"/>
  <c r="AJ254" i="1"/>
  <c r="Y254" i="1"/>
  <c r="Z254" i="1" s="1"/>
  <c r="CT253" i="1"/>
  <c r="CR253" i="1"/>
  <c r="CP253" i="1"/>
  <c r="CN253" i="1"/>
  <c r="CH253" i="1"/>
  <c r="CF253" i="1"/>
  <c r="CD253" i="1"/>
  <c r="CB253" i="1"/>
  <c r="BZ253" i="1"/>
  <c r="BX253" i="1"/>
  <c r="BT253" i="1"/>
  <c r="BP253" i="1"/>
  <c r="BN253" i="1"/>
  <c r="BL253" i="1"/>
  <c r="BJ253" i="1"/>
  <c r="BH253" i="1"/>
  <c r="BF253" i="1"/>
  <c r="BD253" i="1"/>
  <c r="BB253" i="1"/>
  <c r="AZ253" i="1"/>
  <c r="AX253" i="1"/>
  <c r="AP253" i="1"/>
  <c r="AM253" i="1"/>
  <c r="AN253" i="1" s="1"/>
  <c r="AL253" i="1"/>
  <c r="AJ253" i="1"/>
  <c r="AH253" i="1"/>
  <c r="AF253" i="1"/>
  <c r="AB253" i="1"/>
  <c r="Y253" i="1"/>
  <c r="CW253" i="1" s="1"/>
  <c r="X253" i="1"/>
  <c r="V253" i="1"/>
  <c r="T253" i="1"/>
  <c r="R253" i="1"/>
  <c r="AM252" i="1"/>
  <c r="AN252" i="1" s="1"/>
  <c r="AL252" i="1"/>
  <c r="AJ252" i="1"/>
  <c r="Y252" i="1"/>
  <c r="Z252" i="1" s="1"/>
  <c r="AM251" i="1"/>
  <c r="AN251" i="1" s="1"/>
  <c r="AL251" i="1"/>
  <c r="AJ251" i="1"/>
  <c r="Y251" i="1"/>
  <c r="Z251" i="1" s="1"/>
  <c r="AM250" i="1"/>
  <c r="AN250" i="1" s="1"/>
  <c r="AL250" i="1"/>
  <c r="AJ250" i="1"/>
  <c r="Y250" i="1"/>
  <c r="Z250" i="1" s="1"/>
  <c r="CT249" i="1"/>
  <c r="CR249" i="1"/>
  <c r="CP249" i="1"/>
  <c r="CN249" i="1"/>
  <c r="CH249" i="1"/>
  <c r="CF249" i="1"/>
  <c r="CD249" i="1"/>
  <c r="CB249" i="1"/>
  <c r="BZ249" i="1"/>
  <c r="BX249" i="1"/>
  <c r="BT249" i="1"/>
  <c r="BP249" i="1"/>
  <c r="BN249" i="1"/>
  <c r="BL249" i="1"/>
  <c r="BJ249" i="1"/>
  <c r="BH249" i="1"/>
  <c r="BF249" i="1"/>
  <c r="BD249" i="1"/>
  <c r="BB249" i="1"/>
  <c r="AZ249" i="1"/>
  <c r="AX249" i="1"/>
  <c r="AP249" i="1"/>
  <c r="AM249" i="1"/>
  <c r="AN249" i="1" s="1"/>
  <c r="AL249" i="1"/>
  <c r="AJ249" i="1"/>
  <c r="AH249" i="1"/>
  <c r="AF249" i="1"/>
  <c r="AB249" i="1"/>
  <c r="Y249" i="1"/>
  <c r="CW249" i="1" s="1"/>
  <c r="X249" i="1"/>
  <c r="V249" i="1"/>
  <c r="T249" i="1"/>
  <c r="R249" i="1"/>
  <c r="AM248" i="1"/>
  <c r="AN248" i="1" s="1"/>
  <c r="AL248" i="1"/>
  <c r="AJ248" i="1"/>
  <c r="Y248" i="1"/>
  <c r="Z248" i="1" s="1"/>
  <c r="AM247" i="1"/>
  <c r="AN247" i="1" s="1"/>
  <c r="AL247" i="1"/>
  <c r="AJ247" i="1"/>
  <c r="Y247" i="1"/>
  <c r="Z247" i="1" s="1"/>
  <c r="AM246" i="1"/>
  <c r="AN246" i="1" s="1"/>
  <c r="AL246" i="1"/>
  <c r="AJ246" i="1"/>
  <c r="Y246" i="1"/>
  <c r="CT245" i="1"/>
  <c r="CR245" i="1"/>
  <c r="CP245" i="1"/>
  <c r="CN245" i="1"/>
  <c r="CH245" i="1"/>
  <c r="CF245" i="1"/>
  <c r="CD245" i="1"/>
  <c r="CB245" i="1"/>
  <c r="BZ245" i="1"/>
  <c r="BX245" i="1"/>
  <c r="BT245" i="1"/>
  <c r="BP245" i="1"/>
  <c r="BN245" i="1"/>
  <c r="BL245" i="1"/>
  <c r="BJ245" i="1"/>
  <c r="BH245" i="1"/>
  <c r="BF245" i="1"/>
  <c r="BD245" i="1"/>
  <c r="BB245" i="1"/>
  <c r="AZ245" i="1"/>
  <c r="AX245" i="1"/>
  <c r="AP245" i="1"/>
  <c r="AM245" i="1"/>
  <c r="AN245" i="1" s="1"/>
  <c r="AL245" i="1"/>
  <c r="AJ245" i="1"/>
  <c r="AH245" i="1"/>
  <c r="AF245" i="1"/>
  <c r="AB245" i="1"/>
  <c r="Y245" i="1"/>
  <c r="Z245" i="1" s="1"/>
  <c r="X245" i="1"/>
  <c r="V245" i="1"/>
  <c r="T245" i="1"/>
  <c r="R245" i="1"/>
  <c r="AM244" i="1"/>
  <c r="AN244" i="1" s="1"/>
  <c r="AL244" i="1"/>
  <c r="AJ244" i="1"/>
  <c r="Z244" i="1"/>
  <c r="Y244" i="1"/>
  <c r="AM243" i="1"/>
  <c r="AN243" i="1" s="1"/>
  <c r="AL243" i="1"/>
  <c r="AJ243" i="1"/>
  <c r="Y243" i="1"/>
  <c r="AN242" i="1"/>
  <c r="AM242" i="1"/>
  <c r="AL242" i="1"/>
  <c r="AJ242" i="1"/>
  <c r="Y242" i="1"/>
  <c r="Z242" i="1" s="1"/>
  <c r="CT241" i="1"/>
  <c r="CR241" i="1"/>
  <c r="CP241" i="1"/>
  <c r="CN241" i="1"/>
  <c r="CH241" i="1"/>
  <c r="CF241" i="1"/>
  <c r="CD241" i="1"/>
  <c r="CB241" i="1"/>
  <c r="BZ241" i="1"/>
  <c r="BX241" i="1"/>
  <c r="BT241" i="1"/>
  <c r="BP241" i="1"/>
  <c r="BN241" i="1"/>
  <c r="BL241" i="1"/>
  <c r="BJ241" i="1"/>
  <c r="BH241" i="1"/>
  <c r="BF241" i="1"/>
  <c r="BD241" i="1"/>
  <c r="BB241" i="1"/>
  <c r="AZ241" i="1"/>
  <c r="AX241" i="1"/>
  <c r="AP241" i="1"/>
  <c r="AM241" i="1"/>
  <c r="AN241" i="1" s="1"/>
  <c r="AL241" i="1"/>
  <c r="AJ241" i="1"/>
  <c r="AH241" i="1"/>
  <c r="AF241" i="1"/>
  <c r="AB241" i="1"/>
  <c r="Y241" i="1"/>
  <c r="CW241" i="1" s="1"/>
  <c r="X241" i="1"/>
  <c r="V241" i="1"/>
  <c r="T241" i="1"/>
  <c r="R241" i="1"/>
  <c r="AM240" i="1"/>
  <c r="AN240" i="1" s="1"/>
  <c r="AL240" i="1"/>
  <c r="AJ240" i="1"/>
  <c r="Y240" i="1"/>
  <c r="Z240" i="1" s="1"/>
  <c r="AM239" i="1"/>
  <c r="AN239" i="1" s="1"/>
  <c r="AL239" i="1"/>
  <c r="AJ239" i="1"/>
  <c r="Y239" i="1"/>
  <c r="Z239" i="1" s="1"/>
  <c r="AM238" i="1"/>
  <c r="AN238" i="1" s="1"/>
  <c r="AL238" i="1"/>
  <c r="AJ238" i="1"/>
  <c r="Y238" i="1"/>
  <c r="Z238" i="1" s="1"/>
  <c r="CT237" i="1"/>
  <c r="CR237" i="1"/>
  <c r="CP237" i="1"/>
  <c r="CN237" i="1"/>
  <c r="CH237" i="1"/>
  <c r="CF237" i="1"/>
  <c r="CD237" i="1"/>
  <c r="CB237" i="1"/>
  <c r="BZ237" i="1"/>
  <c r="BX237" i="1"/>
  <c r="BT237" i="1"/>
  <c r="BP237" i="1"/>
  <c r="BN237" i="1"/>
  <c r="BL237" i="1"/>
  <c r="BJ237" i="1"/>
  <c r="BH237" i="1"/>
  <c r="BF237" i="1"/>
  <c r="BD237" i="1"/>
  <c r="BB237" i="1"/>
  <c r="AZ237" i="1"/>
  <c r="AX237" i="1"/>
  <c r="AP237" i="1"/>
  <c r="AM237" i="1"/>
  <c r="AN237" i="1" s="1"/>
  <c r="AL237" i="1"/>
  <c r="AJ237" i="1"/>
  <c r="AH237" i="1"/>
  <c r="AF237" i="1"/>
  <c r="AB237" i="1"/>
  <c r="Y237" i="1"/>
  <c r="Z237" i="1" s="1"/>
  <c r="X237" i="1"/>
  <c r="V237" i="1"/>
  <c r="T237" i="1"/>
  <c r="R237" i="1"/>
  <c r="AM236" i="1"/>
  <c r="AN236" i="1" s="1"/>
  <c r="AL236" i="1"/>
  <c r="AJ236" i="1"/>
  <c r="Y236" i="1"/>
  <c r="Z236" i="1" s="1"/>
  <c r="AM235" i="1"/>
  <c r="AN235" i="1" s="1"/>
  <c r="AL235" i="1"/>
  <c r="AJ235" i="1"/>
  <c r="Y235" i="1"/>
  <c r="Z235" i="1" s="1"/>
  <c r="AM234" i="1"/>
  <c r="CW234" i="1" s="1"/>
  <c r="AL234" i="1"/>
  <c r="AJ234" i="1"/>
  <c r="Z234" i="1"/>
  <c r="CT233" i="1"/>
  <c r="CR233" i="1"/>
  <c r="CP233" i="1"/>
  <c r="CN233" i="1"/>
  <c r="CH233" i="1"/>
  <c r="CF233" i="1"/>
  <c r="CD233" i="1"/>
  <c r="CB233" i="1"/>
  <c r="BZ233" i="1"/>
  <c r="BX233" i="1"/>
  <c r="BT233" i="1"/>
  <c r="BP233" i="1"/>
  <c r="BN233" i="1"/>
  <c r="BL233" i="1"/>
  <c r="BJ233" i="1"/>
  <c r="BH233" i="1"/>
  <c r="BF233" i="1"/>
  <c r="BD233" i="1"/>
  <c r="BB233" i="1"/>
  <c r="AZ233" i="1"/>
  <c r="AX233" i="1"/>
  <c r="AP233" i="1"/>
  <c r="AM233" i="1"/>
  <c r="AN233" i="1" s="1"/>
  <c r="AL233" i="1"/>
  <c r="AJ233" i="1"/>
  <c r="AH233" i="1"/>
  <c r="AF233" i="1"/>
  <c r="AB233" i="1"/>
  <c r="Y233" i="1"/>
  <c r="Z233" i="1" s="1"/>
  <c r="X233" i="1"/>
  <c r="V233" i="1"/>
  <c r="T233" i="1"/>
  <c r="R233" i="1"/>
  <c r="AM232" i="1"/>
  <c r="AN232" i="1" s="1"/>
  <c r="AL232" i="1"/>
  <c r="AJ232" i="1"/>
  <c r="Y232" i="1"/>
  <c r="AM231" i="1"/>
  <c r="AN231" i="1" s="1"/>
  <c r="AL231" i="1"/>
  <c r="AJ231" i="1"/>
  <c r="Y231" i="1"/>
  <c r="Z231" i="1" s="1"/>
  <c r="AM230" i="1"/>
  <c r="AN230" i="1" s="1"/>
  <c r="AL230" i="1"/>
  <c r="AJ230" i="1"/>
  <c r="Y230" i="1"/>
  <c r="Z230" i="1" s="1"/>
  <c r="CT229" i="1"/>
  <c r="CR229" i="1"/>
  <c r="CP229" i="1"/>
  <c r="CN229" i="1"/>
  <c r="CH229" i="1"/>
  <c r="CF229" i="1"/>
  <c r="CD229" i="1"/>
  <c r="CB229" i="1"/>
  <c r="BZ229" i="1"/>
  <c r="BX229" i="1"/>
  <c r="BT229" i="1"/>
  <c r="BP229" i="1"/>
  <c r="BN229" i="1"/>
  <c r="BL229" i="1"/>
  <c r="BJ229" i="1"/>
  <c r="BH229" i="1"/>
  <c r="BF229" i="1"/>
  <c r="BD229" i="1"/>
  <c r="BB229" i="1"/>
  <c r="AZ229" i="1"/>
  <c r="AX229" i="1"/>
  <c r="AP229" i="1"/>
  <c r="AM229" i="1"/>
  <c r="AL229" i="1"/>
  <c r="AJ229" i="1"/>
  <c r="AH229" i="1"/>
  <c r="AF229" i="1"/>
  <c r="AB229" i="1"/>
  <c r="Y229" i="1"/>
  <c r="X229" i="1"/>
  <c r="V229" i="1"/>
  <c r="T229" i="1"/>
  <c r="R229" i="1"/>
  <c r="CW228" i="1"/>
  <c r="CT228" i="1"/>
  <c r="CR228" i="1"/>
  <c r="CP228" i="1"/>
  <c r="CN228" i="1"/>
  <c r="CH228" i="1"/>
  <c r="CF228" i="1"/>
  <c r="CD228" i="1"/>
  <c r="CB228" i="1"/>
  <c r="BZ228" i="1"/>
  <c r="BX228" i="1"/>
  <c r="BT228" i="1"/>
  <c r="BP228" i="1"/>
  <c r="BN228" i="1"/>
  <c r="BL228" i="1"/>
  <c r="BJ228" i="1"/>
  <c r="BH228" i="1"/>
  <c r="BF228" i="1"/>
  <c r="BD228" i="1"/>
  <c r="BB228" i="1"/>
  <c r="AZ228" i="1"/>
  <c r="AX228" i="1"/>
  <c r="AP228" i="1"/>
  <c r="AN228" i="1"/>
  <c r="AL228" i="1"/>
  <c r="AJ228" i="1"/>
  <c r="AH228" i="1"/>
  <c r="AF228" i="1"/>
  <c r="AB228" i="1"/>
  <c r="Z228" i="1"/>
  <c r="X228" i="1"/>
  <c r="V228" i="1"/>
  <c r="T228" i="1"/>
  <c r="R228" i="1"/>
  <c r="CW227" i="1"/>
  <c r="CT227" i="1"/>
  <c r="CR227" i="1"/>
  <c r="CP227" i="1"/>
  <c r="CN227" i="1"/>
  <c r="CH227" i="1"/>
  <c r="CF227" i="1"/>
  <c r="CD227" i="1"/>
  <c r="CB227" i="1"/>
  <c r="BZ227" i="1"/>
  <c r="BX227" i="1"/>
  <c r="BT227" i="1"/>
  <c r="BP227" i="1"/>
  <c r="BN227" i="1"/>
  <c r="BL227" i="1"/>
  <c r="BJ227" i="1"/>
  <c r="BH227" i="1"/>
  <c r="BF227" i="1"/>
  <c r="BD227" i="1"/>
  <c r="BB227" i="1"/>
  <c r="AZ227" i="1"/>
  <c r="AX227" i="1"/>
  <c r="AP227" i="1"/>
  <c r="AN227" i="1"/>
  <c r="AL227" i="1"/>
  <c r="AJ227" i="1"/>
  <c r="AH227" i="1"/>
  <c r="AF227" i="1"/>
  <c r="AB227" i="1"/>
  <c r="Z227" i="1"/>
  <c r="X227" i="1"/>
  <c r="V227" i="1"/>
  <c r="T227" i="1"/>
  <c r="R227" i="1"/>
  <c r="CW226" i="1"/>
  <c r="CV226" i="1"/>
  <c r="CT226" i="1"/>
  <c r="CR226" i="1"/>
  <c r="CP226" i="1"/>
  <c r="CN226" i="1"/>
  <c r="CL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P226" i="1"/>
  <c r="AN226" i="1"/>
  <c r="AL226" i="1"/>
  <c r="AJ226" i="1"/>
  <c r="AH226" i="1"/>
  <c r="AF226" i="1"/>
  <c r="AB226" i="1"/>
  <c r="Z226" i="1"/>
  <c r="X226" i="1"/>
  <c r="V226" i="1"/>
  <c r="T226" i="1"/>
  <c r="R226" i="1"/>
  <c r="CW225" i="1"/>
  <c r="CV225" i="1"/>
  <c r="CT225" i="1"/>
  <c r="CR225" i="1"/>
  <c r="CP225" i="1"/>
  <c r="CN225" i="1"/>
  <c r="CL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P225" i="1"/>
  <c r="AN225" i="1"/>
  <c r="AL225" i="1"/>
  <c r="AJ225" i="1"/>
  <c r="AH225" i="1"/>
  <c r="AF225" i="1"/>
  <c r="AB225" i="1"/>
  <c r="Z225" i="1"/>
  <c r="X225" i="1"/>
  <c r="V225" i="1"/>
  <c r="T225" i="1"/>
  <c r="R225" i="1"/>
  <c r="CW224" i="1"/>
  <c r="CT224" i="1"/>
  <c r="CR224" i="1"/>
  <c r="CP224" i="1"/>
  <c r="CN224" i="1"/>
  <c r="CH224" i="1"/>
  <c r="CF224" i="1"/>
  <c r="CD224" i="1"/>
  <c r="CB224" i="1"/>
  <c r="BZ224" i="1"/>
  <c r="BX224" i="1"/>
  <c r="BT224" i="1"/>
  <c r="BP224" i="1"/>
  <c r="BN224" i="1"/>
  <c r="BL224" i="1"/>
  <c r="BJ224" i="1"/>
  <c r="BH224" i="1"/>
  <c r="BF224" i="1"/>
  <c r="BD224" i="1"/>
  <c r="BB224" i="1"/>
  <c r="AZ224" i="1"/>
  <c r="AX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CW223" i="1"/>
  <c r="CT223" i="1"/>
  <c r="CR223" i="1"/>
  <c r="CP223" i="1"/>
  <c r="CN223" i="1"/>
  <c r="CH223" i="1"/>
  <c r="CF223" i="1"/>
  <c r="CD223" i="1"/>
  <c r="CB223" i="1"/>
  <c r="BZ223" i="1"/>
  <c r="BX223" i="1"/>
  <c r="BT223" i="1"/>
  <c r="BP223" i="1"/>
  <c r="BN223" i="1"/>
  <c r="BL223" i="1"/>
  <c r="BJ223" i="1"/>
  <c r="BH223" i="1"/>
  <c r="BF223" i="1"/>
  <c r="BD223" i="1"/>
  <c r="BB223" i="1"/>
  <c r="AZ223" i="1"/>
  <c r="AX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CW222" i="1"/>
  <c r="CT222" i="1"/>
  <c r="CR222" i="1"/>
  <c r="CP222" i="1"/>
  <c r="CN222" i="1"/>
  <c r="CH222" i="1"/>
  <c r="CF222" i="1"/>
  <c r="CD222" i="1"/>
  <c r="CB222" i="1"/>
  <c r="BZ222" i="1"/>
  <c r="BX222" i="1"/>
  <c r="BT222" i="1"/>
  <c r="BP222" i="1"/>
  <c r="BN222" i="1"/>
  <c r="BL222" i="1"/>
  <c r="BJ222" i="1"/>
  <c r="BH222" i="1"/>
  <c r="BF222" i="1"/>
  <c r="BD222" i="1"/>
  <c r="BB222" i="1"/>
  <c r="AZ222" i="1"/>
  <c r="AX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CW221" i="1"/>
  <c r="CT221" i="1"/>
  <c r="CR221" i="1"/>
  <c r="CP221" i="1"/>
  <c r="CN221" i="1"/>
  <c r="CH221" i="1"/>
  <c r="CF221" i="1"/>
  <c r="CD221" i="1"/>
  <c r="CB221" i="1"/>
  <c r="BZ221" i="1"/>
  <c r="BX221" i="1"/>
  <c r="BT221" i="1"/>
  <c r="BP221" i="1"/>
  <c r="BN221" i="1"/>
  <c r="BL221" i="1"/>
  <c r="BJ221" i="1"/>
  <c r="BH221" i="1"/>
  <c r="BF221" i="1"/>
  <c r="BD221" i="1"/>
  <c r="BB221" i="1"/>
  <c r="AZ221" i="1"/>
  <c r="AX221" i="1"/>
  <c r="AP221" i="1"/>
  <c r="AN221" i="1"/>
  <c r="AL221" i="1"/>
  <c r="AJ221" i="1"/>
  <c r="AH221" i="1"/>
  <c r="AF221" i="1"/>
  <c r="AB221" i="1"/>
  <c r="Z221" i="1"/>
  <c r="X221" i="1"/>
  <c r="V221" i="1"/>
  <c r="T221" i="1"/>
  <c r="R221" i="1"/>
  <c r="CT220" i="1"/>
  <c r="CR220" i="1"/>
  <c r="CP220" i="1"/>
  <c r="CN220" i="1"/>
  <c r="CH220" i="1"/>
  <c r="CF220" i="1"/>
  <c r="CD220" i="1"/>
  <c r="CB220" i="1"/>
  <c r="BZ220" i="1"/>
  <c r="BX220" i="1"/>
  <c r="BT220" i="1"/>
  <c r="BP220" i="1"/>
  <c r="BN220" i="1"/>
  <c r="BL220" i="1"/>
  <c r="BJ220" i="1"/>
  <c r="BH220" i="1"/>
  <c r="BF220" i="1"/>
  <c r="BD220" i="1"/>
  <c r="BB220" i="1"/>
  <c r="AZ220" i="1"/>
  <c r="AX220" i="1"/>
  <c r="AP220" i="1"/>
  <c r="AN220" i="1"/>
  <c r="AL220" i="1"/>
  <c r="AJ220" i="1"/>
  <c r="AH220" i="1"/>
  <c r="AF220" i="1"/>
  <c r="AB220" i="1"/>
  <c r="Y220" i="1"/>
  <c r="Z220" i="1" s="1"/>
  <c r="X220" i="1"/>
  <c r="V220" i="1"/>
  <c r="T220" i="1"/>
  <c r="R220" i="1"/>
  <c r="CT219" i="1"/>
  <c r="CR219" i="1"/>
  <c r="CP219" i="1"/>
  <c r="CN219" i="1"/>
  <c r="CH219" i="1"/>
  <c r="CF219" i="1"/>
  <c r="CD219" i="1"/>
  <c r="CB219" i="1"/>
  <c r="BZ219" i="1"/>
  <c r="BX219" i="1"/>
  <c r="BT219" i="1"/>
  <c r="BP219" i="1"/>
  <c r="BN219" i="1"/>
  <c r="BL219" i="1"/>
  <c r="BJ219" i="1"/>
  <c r="BH219" i="1"/>
  <c r="BF219" i="1"/>
  <c r="BD219" i="1"/>
  <c r="BB219" i="1"/>
  <c r="AZ219" i="1"/>
  <c r="AX219" i="1"/>
  <c r="AP219" i="1"/>
  <c r="AN219" i="1"/>
  <c r="AL219" i="1"/>
  <c r="AJ219" i="1"/>
  <c r="AH219" i="1"/>
  <c r="AF219" i="1"/>
  <c r="AB219" i="1"/>
  <c r="Y219" i="1"/>
  <c r="X219" i="1"/>
  <c r="V219" i="1"/>
  <c r="T219" i="1"/>
  <c r="R219" i="1"/>
  <c r="CW218" i="1"/>
  <c r="CT218" i="1"/>
  <c r="CR218" i="1"/>
  <c r="CP218" i="1"/>
  <c r="CN218" i="1"/>
  <c r="CH218" i="1"/>
  <c r="CF218" i="1"/>
  <c r="CD218" i="1"/>
  <c r="CB218" i="1"/>
  <c r="BZ218" i="1"/>
  <c r="BX218" i="1"/>
  <c r="BT218" i="1"/>
  <c r="BP218" i="1"/>
  <c r="BN218" i="1"/>
  <c r="BL218" i="1"/>
  <c r="BJ218" i="1"/>
  <c r="BH218" i="1"/>
  <c r="BF218" i="1"/>
  <c r="BD218" i="1"/>
  <c r="BB218" i="1"/>
  <c r="AZ218" i="1"/>
  <c r="AX218" i="1"/>
  <c r="AP218" i="1"/>
  <c r="AN218" i="1"/>
  <c r="AL218" i="1"/>
  <c r="AJ218" i="1"/>
  <c r="AH218" i="1"/>
  <c r="AF218" i="1"/>
  <c r="AB218" i="1"/>
  <c r="Z218" i="1"/>
  <c r="X218" i="1"/>
  <c r="V218" i="1"/>
  <c r="T218" i="1"/>
  <c r="R218" i="1"/>
  <c r="CW217" i="1"/>
  <c r="CT217" i="1"/>
  <c r="CR217" i="1"/>
  <c r="CP217" i="1"/>
  <c r="CN217" i="1"/>
  <c r="CH217" i="1"/>
  <c r="CF217" i="1"/>
  <c r="CD217" i="1"/>
  <c r="CB217" i="1"/>
  <c r="BZ217" i="1"/>
  <c r="BX217" i="1"/>
  <c r="BT217" i="1"/>
  <c r="BP217" i="1"/>
  <c r="BN217" i="1"/>
  <c r="BL217" i="1"/>
  <c r="BJ217" i="1"/>
  <c r="BH217" i="1"/>
  <c r="BF217" i="1"/>
  <c r="BD217" i="1"/>
  <c r="BB217" i="1"/>
  <c r="AZ217" i="1"/>
  <c r="AX217" i="1"/>
  <c r="AP217" i="1"/>
  <c r="AN217" i="1"/>
  <c r="AL217" i="1"/>
  <c r="AJ217" i="1"/>
  <c r="AH217" i="1"/>
  <c r="AF217" i="1"/>
  <c r="AB217" i="1"/>
  <c r="Z217" i="1"/>
  <c r="X217" i="1"/>
  <c r="V217" i="1"/>
  <c r="T217" i="1"/>
  <c r="R217" i="1"/>
  <c r="CW216" i="1"/>
  <c r="CT216" i="1"/>
  <c r="CR216" i="1"/>
  <c r="CP216" i="1"/>
  <c r="CN216" i="1"/>
  <c r="CH216" i="1"/>
  <c r="CF216" i="1"/>
  <c r="CD216" i="1"/>
  <c r="CB216" i="1"/>
  <c r="BZ216" i="1"/>
  <c r="BX216" i="1"/>
  <c r="BT216" i="1"/>
  <c r="BP216" i="1"/>
  <c r="BN216" i="1"/>
  <c r="BL216" i="1"/>
  <c r="BJ216" i="1"/>
  <c r="BH216" i="1"/>
  <c r="BF216" i="1"/>
  <c r="BD216" i="1"/>
  <c r="BB216" i="1"/>
  <c r="AZ216" i="1"/>
  <c r="AX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CW215" i="1"/>
  <c r="CV215" i="1"/>
  <c r="CT215" i="1"/>
  <c r="CR215" i="1"/>
  <c r="CP215" i="1"/>
  <c r="CN215" i="1"/>
  <c r="CL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P215" i="1"/>
  <c r="AN215" i="1"/>
  <c r="AL215" i="1"/>
  <c r="AJ215" i="1"/>
  <c r="AH215" i="1"/>
  <c r="AF215" i="1"/>
  <c r="AB215" i="1"/>
  <c r="Z215" i="1"/>
  <c r="X215" i="1"/>
  <c r="V215" i="1"/>
  <c r="T215" i="1"/>
  <c r="R215" i="1"/>
  <c r="CW214" i="1"/>
  <c r="CV214" i="1"/>
  <c r="CT214" i="1"/>
  <c r="CR214" i="1"/>
  <c r="CP214" i="1"/>
  <c r="CN214" i="1"/>
  <c r="CL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P214" i="1"/>
  <c r="AN214" i="1"/>
  <c r="AL214" i="1"/>
  <c r="AJ214" i="1"/>
  <c r="AH214" i="1"/>
  <c r="AF214" i="1"/>
  <c r="AB214" i="1"/>
  <c r="Z214" i="1"/>
  <c r="X214" i="1"/>
  <c r="V214" i="1"/>
  <c r="T214" i="1"/>
  <c r="R214" i="1"/>
  <c r="CW213" i="1"/>
  <c r="CV213" i="1"/>
  <c r="CT213" i="1"/>
  <c r="CR213" i="1"/>
  <c r="CP213" i="1"/>
  <c r="CN213" i="1"/>
  <c r="CL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P213" i="1"/>
  <c r="AN213" i="1"/>
  <c r="AL213" i="1"/>
  <c r="AJ213" i="1"/>
  <c r="AH213" i="1"/>
  <c r="AF213" i="1"/>
  <c r="AB213" i="1"/>
  <c r="Z213" i="1"/>
  <c r="X213" i="1"/>
  <c r="V213" i="1"/>
  <c r="T213" i="1"/>
  <c r="R213" i="1"/>
  <c r="CW212" i="1"/>
  <c r="CV212" i="1"/>
  <c r="CT212" i="1"/>
  <c r="CR212" i="1"/>
  <c r="CP212" i="1"/>
  <c r="CN212" i="1"/>
  <c r="CL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P212" i="1"/>
  <c r="AN212" i="1"/>
  <c r="AL212" i="1"/>
  <c r="AJ212" i="1"/>
  <c r="AH212" i="1"/>
  <c r="AF212" i="1"/>
  <c r="AB212" i="1"/>
  <c r="Z212" i="1"/>
  <c r="X212" i="1"/>
  <c r="V212" i="1"/>
  <c r="T212" i="1"/>
  <c r="R212" i="1"/>
  <c r="CT211" i="1"/>
  <c r="CR211" i="1"/>
  <c r="CP211" i="1"/>
  <c r="CN211" i="1"/>
  <c r="CH211" i="1"/>
  <c r="CF211" i="1"/>
  <c r="CD211" i="1"/>
  <c r="CB211" i="1"/>
  <c r="BZ211" i="1"/>
  <c r="BX211" i="1"/>
  <c r="BT211" i="1"/>
  <c r="BP211" i="1"/>
  <c r="BN211" i="1"/>
  <c r="BL211" i="1"/>
  <c r="BJ211" i="1"/>
  <c r="BH211" i="1"/>
  <c r="BF211" i="1"/>
  <c r="BD211" i="1"/>
  <c r="BB211" i="1"/>
  <c r="AZ211" i="1"/>
  <c r="AX211" i="1"/>
  <c r="AP211" i="1"/>
  <c r="AN211" i="1"/>
  <c r="AL211" i="1"/>
  <c r="AJ211" i="1"/>
  <c r="AH211" i="1"/>
  <c r="AF211" i="1"/>
  <c r="AB211" i="1"/>
  <c r="Y211" i="1"/>
  <c r="CW211" i="1" s="1"/>
  <c r="X211" i="1"/>
  <c r="V211" i="1"/>
  <c r="T211" i="1"/>
  <c r="R211" i="1"/>
  <c r="CT210" i="1"/>
  <c r="CR210" i="1"/>
  <c r="CP210" i="1"/>
  <c r="CN210" i="1"/>
  <c r="CH210" i="1"/>
  <c r="CF210" i="1"/>
  <c r="CD210" i="1"/>
  <c r="CB210" i="1"/>
  <c r="BZ210" i="1"/>
  <c r="BX210" i="1"/>
  <c r="BT210" i="1"/>
  <c r="BP210" i="1"/>
  <c r="BN210" i="1"/>
  <c r="BL210" i="1"/>
  <c r="BJ210" i="1"/>
  <c r="BH210" i="1"/>
  <c r="BF210" i="1"/>
  <c r="BD210" i="1"/>
  <c r="BB210" i="1"/>
  <c r="AZ210" i="1"/>
  <c r="AX210" i="1"/>
  <c r="AP210" i="1"/>
  <c r="AN210" i="1"/>
  <c r="AL210" i="1"/>
  <c r="AJ210" i="1"/>
  <c r="AH210" i="1"/>
  <c r="AF210" i="1"/>
  <c r="AB210" i="1"/>
  <c r="Y210" i="1"/>
  <c r="X210" i="1"/>
  <c r="V210" i="1"/>
  <c r="T210" i="1"/>
  <c r="R210" i="1"/>
  <c r="CT209" i="1"/>
  <c r="CR209" i="1"/>
  <c r="CP209" i="1"/>
  <c r="CN209" i="1"/>
  <c r="CH209" i="1"/>
  <c r="CF209" i="1"/>
  <c r="CD209" i="1"/>
  <c r="CB209" i="1"/>
  <c r="BZ209" i="1"/>
  <c r="BX209" i="1"/>
  <c r="BT209" i="1"/>
  <c r="BP209" i="1"/>
  <c r="BN209" i="1"/>
  <c r="BL209" i="1"/>
  <c r="BJ209" i="1"/>
  <c r="BH209" i="1"/>
  <c r="BF209" i="1"/>
  <c r="BD209" i="1"/>
  <c r="BB209" i="1"/>
  <c r="AZ209" i="1"/>
  <c r="AX209" i="1"/>
  <c r="AP209" i="1"/>
  <c r="AN209" i="1"/>
  <c r="AL209" i="1"/>
  <c r="AJ209" i="1"/>
  <c r="AH209" i="1"/>
  <c r="AF209" i="1"/>
  <c r="AB209" i="1"/>
  <c r="Y209" i="1"/>
  <c r="CW209" i="1" s="1"/>
  <c r="X209" i="1"/>
  <c r="V209" i="1"/>
  <c r="T209" i="1"/>
  <c r="R209" i="1"/>
  <c r="CW208" i="1"/>
  <c r="CT208" i="1"/>
  <c r="CR208" i="1"/>
  <c r="CP208" i="1"/>
  <c r="CN208" i="1"/>
  <c r="CH208" i="1"/>
  <c r="CF208" i="1"/>
  <c r="CD208" i="1"/>
  <c r="CB208" i="1"/>
  <c r="BZ208" i="1"/>
  <c r="BX208" i="1"/>
  <c r="BT208" i="1"/>
  <c r="BP208" i="1"/>
  <c r="BN208" i="1"/>
  <c r="BL208" i="1"/>
  <c r="BJ208" i="1"/>
  <c r="BH208" i="1"/>
  <c r="BF208" i="1"/>
  <c r="BD208" i="1"/>
  <c r="BB208" i="1"/>
  <c r="AZ208" i="1"/>
  <c r="AX208" i="1"/>
  <c r="AP208" i="1"/>
  <c r="AN208" i="1"/>
  <c r="AL208" i="1"/>
  <c r="AJ208" i="1"/>
  <c r="AH208" i="1"/>
  <c r="AF208" i="1"/>
  <c r="AB208" i="1"/>
  <c r="Z208" i="1"/>
  <c r="X208" i="1"/>
  <c r="V208" i="1"/>
  <c r="T208" i="1"/>
  <c r="R208" i="1"/>
  <c r="CT207" i="1"/>
  <c r="CR207" i="1"/>
  <c r="CP207" i="1"/>
  <c r="CN207" i="1"/>
  <c r="CH207" i="1"/>
  <c r="CF207" i="1"/>
  <c r="CD207" i="1"/>
  <c r="CB207" i="1"/>
  <c r="BZ207" i="1"/>
  <c r="BX207" i="1"/>
  <c r="BT207" i="1"/>
  <c r="BP207" i="1"/>
  <c r="BN207" i="1"/>
  <c r="BL207" i="1"/>
  <c r="BJ207" i="1"/>
  <c r="BH207" i="1"/>
  <c r="BF207" i="1"/>
  <c r="BD207" i="1"/>
  <c r="BB207" i="1"/>
  <c r="AZ207" i="1"/>
  <c r="AX207" i="1"/>
  <c r="AP207" i="1"/>
  <c r="AN207" i="1"/>
  <c r="AL207" i="1"/>
  <c r="AJ207" i="1"/>
  <c r="AH207" i="1"/>
  <c r="AF207" i="1"/>
  <c r="AB207" i="1"/>
  <c r="Y207" i="1"/>
  <c r="X207" i="1"/>
  <c r="V207" i="1"/>
  <c r="T207" i="1"/>
  <c r="R207" i="1"/>
  <c r="CW206" i="1"/>
  <c r="CT206" i="1"/>
  <c r="CR206" i="1"/>
  <c r="CP206" i="1"/>
  <c r="CN206" i="1"/>
  <c r="CH206" i="1"/>
  <c r="CF206" i="1"/>
  <c r="CD206" i="1"/>
  <c r="CB206" i="1"/>
  <c r="BZ206" i="1"/>
  <c r="BX206" i="1"/>
  <c r="BT206" i="1"/>
  <c r="BP206" i="1"/>
  <c r="BN206" i="1"/>
  <c r="BL206" i="1"/>
  <c r="BJ206" i="1"/>
  <c r="BH206" i="1"/>
  <c r="BF206" i="1"/>
  <c r="BD206" i="1"/>
  <c r="BB206" i="1"/>
  <c r="AZ206" i="1"/>
  <c r="AX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CT205" i="1"/>
  <c r="CR205" i="1"/>
  <c r="CP205" i="1"/>
  <c r="CN205" i="1"/>
  <c r="CJ205" i="1"/>
  <c r="CH205" i="1"/>
  <c r="CF205" i="1"/>
  <c r="CD205" i="1"/>
  <c r="CB205" i="1"/>
  <c r="BZ205" i="1"/>
  <c r="BX205" i="1"/>
  <c r="BT205" i="1"/>
  <c r="BP205" i="1"/>
  <c r="BN205" i="1"/>
  <c r="BL205" i="1"/>
  <c r="BJ205" i="1"/>
  <c r="BH205" i="1"/>
  <c r="BF205" i="1"/>
  <c r="BD205" i="1"/>
  <c r="BB205" i="1"/>
  <c r="AZ205" i="1"/>
  <c r="AX205" i="1"/>
  <c r="AP205" i="1"/>
  <c r="AN205" i="1"/>
  <c r="AL205" i="1"/>
  <c r="AJ205" i="1"/>
  <c r="AH205" i="1"/>
  <c r="AF205" i="1"/>
  <c r="AB205" i="1"/>
  <c r="Y205" i="1"/>
  <c r="CW205" i="1" s="1"/>
  <c r="X205" i="1"/>
  <c r="V205" i="1"/>
  <c r="T205" i="1"/>
  <c r="R205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P204" i="1"/>
  <c r="AN204" i="1"/>
  <c r="AL204" i="1"/>
  <c r="AJ204" i="1"/>
  <c r="AH204" i="1"/>
  <c r="AF204" i="1"/>
  <c r="AB204" i="1"/>
  <c r="Y204" i="1"/>
  <c r="CW204" i="1" s="1"/>
  <c r="X204" i="1"/>
  <c r="V204" i="1"/>
  <c r="T204" i="1"/>
  <c r="R204" i="1"/>
  <c r="CW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P203" i="1"/>
  <c r="AN203" i="1"/>
  <c r="AL203" i="1"/>
  <c r="AJ203" i="1"/>
  <c r="AH203" i="1"/>
  <c r="AF203" i="1"/>
  <c r="AB203" i="1"/>
  <c r="Z203" i="1"/>
  <c r="X203" i="1"/>
  <c r="V203" i="1"/>
  <c r="T203" i="1"/>
  <c r="R203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P202" i="1"/>
  <c r="AN202" i="1"/>
  <c r="AL202" i="1"/>
  <c r="AJ202" i="1"/>
  <c r="AH202" i="1"/>
  <c r="AF202" i="1"/>
  <c r="AB202" i="1"/>
  <c r="Y202" i="1"/>
  <c r="CW202" i="1" s="1"/>
  <c r="X202" i="1"/>
  <c r="V202" i="1"/>
  <c r="T202" i="1"/>
  <c r="R202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P201" i="1"/>
  <c r="AN201" i="1"/>
  <c r="AL201" i="1"/>
  <c r="AJ201" i="1"/>
  <c r="AH201" i="1"/>
  <c r="AF201" i="1"/>
  <c r="AB201" i="1"/>
  <c r="Z201" i="1"/>
  <c r="Y201" i="1"/>
  <c r="CW201" i="1" s="1"/>
  <c r="X201" i="1"/>
  <c r="V201" i="1"/>
  <c r="T201" i="1"/>
  <c r="R201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P200" i="1"/>
  <c r="AN200" i="1"/>
  <c r="AL200" i="1"/>
  <c r="AJ200" i="1"/>
  <c r="AH200" i="1"/>
  <c r="AF200" i="1"/>
  <c r="AB200" i="1"/>
  <c r="Y200" i="1"/>
  <c r="X200" i="1"/>
  <c r="V200" i="1"/>
  <c r="T200" i="1"/>
  <c r="R200" i="1"/>
  <c r="CW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CW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P198" i="1"/>
  <c r="AN198" i="1"/>
  <c r="AL198" i="1"/>
  <c r="AJ198" i="1"/>
  <c r="AH198" i="1"/>
  <c r="AF198" i="1"/>
  <c r="AB198" i="1"/>
  <c r="Z198" i="1"/>
  <c r="X198" i="1"/>
  <c r="V198" i="1"/>
  <c r="T198" i="1"/>
  <c r="R198" i="1"/>
  <c r="CV197" i="1"/>
  <c r="CT197" i="1"/>
  <c r="CR197" i="1"/>
  <c r="CP197" i="1"/>
  <c r="CN197" i="1"/>
  <c r="CL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P197" i="1"/>
  <c r="AN197" i="1"/>
  <c r="AL197" i="1"/>
  <c r="AJ197" i="1"/>
  <c r="AH197" i="1"/>
  <c r="AF197" i="1"/>
  <c r="AB197" i="1"/>
  <c r="Y197" i="1"/>
  <c r="CW197" i="1" s="1"/>
  <c r="X197" i="1"/>
  <c r="V197" i="1"/>
  <c r="T197" i="1"/>
  <c r="R197" i="1"/>
  <c r="CW196" i="1"/>
  <c r="CV196" i="1"/>
  <c r="CT196" i="1"/>
  <c r="CR196" i="1"/>
  <c r="CP196" i="1"/>
  <c r="CN196" i="1"/>
  <c r="CL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P196" i="1"/>
  <c r="AN196" i="1"/>
  <c r="AL196" i="1"/>
  <c r="AJ196" i="1"/>
  <c r="AH196" i="1"/>
  <c r="AF196" i="1"/>
  <c r="AB196" i="1"/>
  <c r="Z196" i="1"/>
  <c r="X196" i="1"/>
  <c r="V196" i="1"/>
  <c r="T196" i="1"/>
  <c r="R196" i="1"/>
  <c r="CT195" i="1"/>
  <c r="CR195" i="1"/>
  <c r="CP195" i="1"/>
  <c r="CN195" i="1"/>
  <c r="CH195" i="1"/>
  <c r="CF195" i="1"/>
  <c r="CD195" i="1"/>
  <c r="CB195" i="1"/>
  <c r="BZ195" i="1"/>
  <c r="BX195" i="1"/>
  <c r="BT195" i="1"/>
  <c r="BP195" i="1"/>
  <c r="BN195" i="1"/>
  <c r="BL195" i="1"/>
  <c r="BJ195" i="1"/>
  <c r="BH195" i="1"/>
  <c r="BF195" i="1"/>
  <c r="BD195" i="1"/>
  <c r="BB195" i="1"/>
  <c r="AZ195" i="1"/>
  <c r="AX195" i="1"/>
  <c r="AP195" i="1"/>
  <c r="AN195" i="1"/>
  <c r="AL195" i="1"/>
  <c r="AJ195" i="1"/>
  <c r="AH195" i="1"/>
  <c r="AF195" i="1"/>
  <c r="AB195" i="1"/>
  <c r="Y195" i="1"/>
  <c r="CW195" i="1" s="1"/>
  <c r="X195" i="1"/>
  <c r="V195" i="1"/>
  <c r="T195" i="1"/>
  <c r="R195" i="1"/>
  <c r="CW194" i="1"/>
  <c r="CT194" i="1"/>
  <c r="CR194" i="1"/>
  <c r="CP194" i="1"/>
  <c r="CN194" i="1"/>
  <c r="CH194" i="1"/>
  <c r="CF194" i="1"/>
  <c r="CD194" i="1"/>
  <c r="CB194" i="1"/>
  <c r="BZ194" i="1"/>
  <c r="BX194" i="1"/>
  <c r="BT194" i="1"/>
  <c r="BP194" i="1"/>
  <c r="BN194" i="1"/>
  <c r="BL194" i="1"/>
  <c r="BJ194" i="1"/>
  <c r="BH194" i="1"/>
  <c r="BF194" i="1"/>
  <c r="BD194" i="1"/>
  <c r="BB194" i="1"/>
  <c r="AZ194" i="1"/>
  <c r="AX194" i="1"/>
  <c r="AP194" i="1"/>
  <c r="AN194" i="1"/>
  <c r="AL194" i="1"/>
  <c r="AJ194" i="1"/>
  <c r="AH194" i="1"/>
  <c r="AF194" i="1"/>
  <c r="AB194" i="1"/>
  <c r="Z194" i="1"/>
  <c r="X194" i="1"/>
  <c r="V194" i="1"/>
  <c r="T194" i="1"/>
  <c r="R194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P193" i="1"/>
  <c r="AM193" i="1"/>
  <c r="CW193" i="1" s="1"/>
  <c r="AL193" i="1"/>
  <c r="AJ193" i="1"/>
  <c r="AH193" i="1"/>
  <c r="AF193" i="1"/>
  <c r="AB193" i="1"/>
  <c r="Z193" i="1"/>
  <c r="X193" i="1"/>
  <c r="V193" i="1"/>
  <c r="T193" i="1"/>
  <c r="R193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P192" i="1"/>
  <c r="AM192" i="1"/>
  <c r="CW192" i="1" s="1"/>
  <c r="AL192" i="1"/>
  <c r="AJ192" i="1"/>
  <c r="AH192" i="1"/>
  <c r="AF192" i="1"/>
  <c r="AB192" i="1"/>
  <c r="Z192" i="1"/>
  <c r="X192" i="1"/>
  <c r="V192" i="1"/>
  <c r="T192" i="1"/>
  <c r="R192" i="1"/>
  <c r="CW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P191" i="1"/>
  <c r="AN191" i="1"/>
  <c r="AL191" i="1"/>
  <c r="AJ191" i="1"/>
  <c r="AH191" i="1"/>
  <c r="AF191" i="1"/>
  <c r="AB191" i="1"/>
  <c r="Z191" i="1"/>
  <c r="X191" i="1"/>
  <c r="V191" i="1"/>
  <c r="T191" i="1"/>
  <c r="R191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P190" i="1"/>
  <c r="AN190" i="1"/>
  <c r="AL190" i="1"/>
  <c r="AJ190" i="1"/>
  <c r="AH190" i="1"/>
  <c r="AF190" i="1"/>
  <c r="AB190" i="1"/>
  <c r="Y190" i="1"/>
  <c r="CW190" i="1" s="1"/>
  <c r="X190" i="1"/>
  <c r="V190" i="1"/>
  <c r="T190" i="1"/>
  <c r="R190" i="1"/>
  <c r="CW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P188" i="1"/>
  <c r="AM188" i="1"/>
  <c r="AL188" i="1"/>
  <c r="AJ188" i="1"/>
  <c r="AH188" i="1"/>
  <c r="AF188" i="1"/>
  <c r="AB188" i="1"/>
  <c r="Y188" i="1"/>
  <c r="Z188" i="1" s="1"/>
  <c r="X188" i="1"/>
  <c r="V188" i="1"/>
  <c r="T188" i="1"/>
  <c r="R188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P187" i="1"/>
  <c r="AM187" i="1"/>
  <c r="AN187" i="1" s="1"/>
  <c r="AL187" i="1"/>
  <c r="AJ187" i="1"/>
  <c r="AH187" i="1"/>
  <c r="AF187" i="1"/>
  <c r="AB187" i="1"/>
  <c r="Y187" i="1"/>
  <c r="Z187" i="1" s="1"/>
  <c r="X187" i="1"/>
  <c r="V187" i="1"/>
  <c r="T187" i="1"/>
  <c r="R187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P186" i="1"/>
  <c r="AM186" i="1"/>
  <c r="CW186" i="1" s="1"/>
  <c r="AL186" i="1"/>
  <c r="AJ186" i="1"/>
  <c r="AH186" i="1"/>
  <c r="AF186" i="1"/>
  <c r="AB186" i="1"/>
  <c r="Z186" i="1"/>
  <c r="X186" i="1"/>
  <c r="V186" i="1"/>
  <c r="T186" i="1"/>
  <c r="R186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P185" i="1"/>
  <c r="AM185" i="1"/>
  <c r="CW185" i="1" s="1"/>
  <c r="AL185" i="1"/>
  <c r="AJ185" i="1"/>
  <c r="AH185" i="1"/>
  <c r="AF185" i="1"/>
  <c r="AB185" i="1"/>
  <c r="Z185" i="1"/>
  <c r="X185" i="1"/>
  <c r="V185" i="1"/>
  <c r="T185" i="1"/>
  <c r="R185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P184" i="1"/>
  <c r="AM184" i="1"/>
  <c r="CW184" i="1" s="1"/>
  <c r="AL184" i="1"/>
  <c r="AJ184" i="1"/>
  <c r="AH184" i="1"/>
  <c r="AF184" i="1"/>
  <c r="AB184" i="1"/>
  <c r="Z184" i="1"/>
  <c r="X184" i="1"/>
  <c r="V184" i="1"/>
  <c r="T184" i="1"/>
  <c r="R184" i="1"/>
  <c r="CW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P183" i="1"/>
  <c r="AN183" i="1"/>
  <c r="AL183" i="1"/>
  <c r="AJ183" i="1"/>
  <c r="AH183" i="1"/>
  <c r="AF183" i="1"/>
  <c r="AB183" i="1"/>
  <c r="Z183" i="1"/>
  <c r="X183" i="1"/>
  <c r="V183" i="1"/>
  <c r="T183" i="1"/>
  <c r="R183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P182" i="1"/>
  <c r="AN182" i="1"/>
  <c r="AL182" i="1"/>
  <c r="AJ182" i="1"/>
  <c r="AH182" i="1"/>
  <c r="AF182" i="1"/>
  <c r="AB182" i="1"/>
  <c r="Y182" i="1"/>
  <c r="CW182" i="1" s="1"/>
  <c r="X182" i="1"/>
  <c r="V182" i="1"/>
  <c r="T182" i="1"/>
  <c r="R182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P181" i="1"/>
  <c r="AN181" i="1"/>
  <c r="AL181" i="1"/>
  <c r="AJ181" i="1"/>
  <c r="AH181" i="1"/>
  <c r="AF181" i="1"/>
  <c r="AB181" i="1"/>
  <c r="Y181" i="1"/>
  <c r="CW181" i="1" s="1"/>
  <c r="X181" i="1"/>
  <c r="V181" i="1"/>
  <c r="T181" i="1"/>
  <c r="R181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P180" i="1"/>
  <c r="AM180" i="1"/>
  <c r="AN180" i="1" s="1"/>
  <c r="AL180" i="1"/>
  <c r="AJ180" i="1"/>
  <c r="AH180" i="1"/>
  <c r="AF180" i="1"/>
  <c r="AB180" i="1"/>
  <c r="Y180" i="1"/>
  <c r="Z180" i="1" s="1"/>
  <c r="X180" i="1"/>
  <c r="V180" i="1"/>
  <c r="T180" i="1"/>
  <c r="R180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P179" i="1"/>
  <c r="AM179" i="1"/>
  <c r="AN179" i="1" s="1"/>
  <c r="AL179" i="1"/>
  <c r="AJ179" i="1"/>
  <c r="AH179" i="1"/>
  <c r="AF179" i="1"/>
  <c r="AB179" i="1"/>
  <c r="Y179" i="1"/>
  <c r="CW179" i="1" s="1"/>
  <c r="X179" i="1"/>
  <c r="V179" i="1"/>
  <c r="T179" i="1"/>
  <c r="R179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P178" i="1"/>
  <c r="AN178" i="1"/>
  <c r="AL178" i="1"/>
  <c r="AJ178" i="1"/>
  <c r="AH178" i="1"/>
  <c r="AF178" i="1"/>
  <c r="AB178" i="1"/>
  <c r="Y178" i="1"/>
  <c r="CW178" i="1" s="1"/>
  <c r="X178" i="1"/>
  <c r="V178" i="1"/>
  <c r="T178" i="1"/>
  <c r="R178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P177" i="1"/>
  <c r="AN177" i="1"/>
  <c r="AL177" i="1"/>
  <c r="AJ177" i="1"/>
  <c r="AH177" i="1"/>
  <c r="AF177" i="1"/>
  <c r="AB177" i="1"/>
  <c r="Y177" i="1"/>
  <c r="CW177" i="1" s="1"/>
  <c r="X177" i="1"/>
  <c r="V177" i="1"/>
  <c r="T177" i="1"/>
  <c r="R177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P176" i="1"/>
  <c r="AM176" i="1"/>
  <c r="AN176" i="1" s="1"/>
  <c r="AL176" i="1"/>
  <c r="AJ176" i="1"/>
  <c r="AH176" i="1"/>
  <c r="AF176" i="1"/>
  <c r="AB176" i="1"/>
  <c r="Y176" i="1"/>
  <c r="Z176" i="1" s="1"/>
  <c r="X176" i="1"/>
  <c r="V176" i="1"/>
  <c r="T176" i="1"/>
  <c r="R176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P175" i="1"/>
  <c r="AN175" i="1"/>
  <c r="AL175" i="1"/>
  <c r="AJ175" i="1"/>
  <c r="AH175" i="1"/>
  <c r="AF175" i="1"/>
  <c r="AB175" i="1"/>
  <c r="Y175" i="1"/>
  <c r="CW175" i="1" s="1"/>
  <c r="X175" i="1"/>
  <c r="V175" i="1"/>
  <c r="T175" i="1"/>
  <c r="R175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P174" i="1"/>
  <c r="AM174" i="1"/>
  <c r="AL174" i="1"/>
  <c r="AJ174" i="1"/>
  <c r="AH174" i="1"/>
  <c r="AF174" i="1"/>
  <c r="AB174" i="1"/>
  <c r="Y174" i="1"/>
  <c r="Z174" i="1" s="1"/>
  <c r="X174" i="1"/>
  <c r="V174" i="1"/>
  <c r="T174" i="1"/>
  <c r="R174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P173" i="1"/>
  <c r="AM173" i="1"/>
  <c r="AN173" i="1" s="1"/>
  <c r="AL173" i="1"/>
  <c r="AJ173" i="1"/>
  <c r="AH173" i="1"/>
  <c r="AF173" i="1"/>
  <c r="AB173" i="1"/>
  <c r="Y173" i="1"/>
  <c r="Z173" i="1" s="1"/>
  <c r="X173" i="1"/>
  <c r="V173" i="1"/>
  <c r="T173" i="1"/>
  <c r="R173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P172" i="1"/>
  <c r="AM172" i="1"/>
  <c r="AL172" i="1"/>
  <c r="AJ172" i="1"/>
  <c r="AH172" i="1"/>
  <c r="AF172" i="1"/>
  <c r="AB172" i="1"/>
  <c r="Y172" i="1"/>
  <c r="CW172" i="1" s="1"/>
  <c r="X172" i="1"/>
  <c r="V172" i="1"/>
  <c r="T172" i="1"/>
  <c r="R172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P171" i="1"/>
  <c r="AM171" i="1"/>
  <c r="AL171" i="1"/>
  <c r="AJ171" i="1"/>
  <c r="AH171" i="1"/>
  <c r="AF171" i="1"/>
  <c r="AB171" i="1"/>
  <c r="Y171" i="1"/>
  <c r="Z171" i="1" s="1"/>
  <c r="X171" i="1"/>
  <c r="V171" i="1"/>
  <c r="T171" i="1"/>
  <c r="R171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P170" i="1"/>
  <c r="AM170" i="1"/>
  <c r="AN170" i="1" s="1"/>
  <c r="AL170" i="1"/>
  <c r="AJ170" i="1"/>
  <c r="AH170" i="1"/>
  <c r="AF170" i="1"/>
  <c r="AB170" i="1"/>
  <c r="Y170" i="1"/>
  <c r="Z170" i="1" s="1"/>
  <c r="X170" i="1"/>
  <c r="V170" i="1"/>
  <c r="T170" i="1"/>
  <c r="R170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P169" i="1"/>
  <c r="AM169" i="1"/>
  <c r="CW169" i="1" s="1"/>
  <c r="AL169" i="1"/>
  <c r="AJ169" i="1"/>
  <c r="AH169" i="1"/>
  <c r="AF169" i="1"/>
  <c r="AB169" i="1"/>
  <c r="Z169" i="1"/>
  <c r="X169" i="1"/>
  <c r="V169" i="1"/>
  <c r="T169" i="1"/>
  <c r="R169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P168" i="1"/>
  <c r="AM168" i="1"/>
  <c r="AN168" i="1" s="1"/>
  <c r="AL168" i="1"/>
  <c r="AJ168" i="1"/>
  <c r="AH168" i="1"/>
  <c r="AF168" i="1"/>
  <c r="AB168" i="1"/>
  <c r="Y168" i="1"/>
  <c r="CW168" i="1" s="1"/>
  <c r="X168" i="1"/>
  <c r="V168" i="1"/>
  <c r="T168" i="1"/>
  <c r="R168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O167" i="1"/>
  <c r="AK167" i="1"/>
  <c r="AI167" i="1"/>
  <c r="AG167" i="1"/>
  <c r="AE167" i="1"/>
  <c r="AD167" i="1"/>
  <c r="AC167" i="1"/>
  <c r="AA167" i="1"/>
  <c r="W167" i="1"/>
  <c r="U167" i="1"/>
  <c r="S167" i="1"/>
  <c r="Q167" i="1"/>
  <c r="CT166" i="1"/>
  <c r="CR166" i="1"/>
  <c r="CP166" i="1"/>
  <c r="CN166" i="1"/>
  <c r="CL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B166" i="1"/>
  <c r="AZ166" i="1"/>
  <c r="AX166" i="1"/>
  <c r="AP166" i="1"/>
  <c r="AN166" i="1"/>
  <c r="AL166" i="1"/>
  <c r="AJ166" i="1"/>
  <c r="AH166" i="1"/>
  <c r="AF166" i="1"/>
  <c r="AB166" i="1"/>
  <c r="Z166" i="1"/>
  <c r="X166" i="1"/>
  <c r="U166" i="1"/>
  <c r="V166" i="1" s="1"/>
  <c r="T166" i="1"/>
  <c r="R166" i="1"/>
  <c r="CW165" i="1"/>
  <c r="CV165" i="1"/>
  <c r="CV163" i="1" s="1"/>
  <c r="CT165" i="1"/>
  <c r="CR165" i="1"/>
  <c r="CP165" i="1"/>
  <c r="CN165" i="1"/>
  <c r="CL165" i="1"/>
  <c r="CJ165" i="1"/>
  <c r="CJ163" i="1" s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D163" i="1" s="1"/>
  <c r="BB165" i="1"/>
  <c r="AZ165" i="1"/>
  <c r="AX165" i="1"/>
  <c r="AV165" i="1"/>
  <c r="AV163" i="1" s="1"/>
  <c r="AT165" i="1"/>
  <c r="AT163" i="1" s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CW164" i="1"/>
  <c r="CT164" i="1"/>
  <c r="CR164" i="1"/>
  <c r="CP164" i="1"/>
  <c r="CN164" i="1"/>
  <c r="CL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B164" i="1"/>
  <c r="AZ164" i="1"/>
  <c r="AX164" i="1"/>
  <c r="AP164" i="1"/>
  <c r="AN164" i="1"/>
  <c r="AL164" i="1"/>
  <c r="AJ164" i="1"/>
  <c r="AH164" i="1"/>
  <c r="AF164" i="1"/>
  <c r="AB164" i="1"/>
  <c r="Z164" i="1"/>
  <c r="X164" i="1"/>
  <c r="V164" i="1"/>
  <c r="T164" i="1"/>
  <c r="R164" i="1"/>
  <c r="R163" i="1" s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O163" i="1"/>
  <c r="AM163" i="1"/>
  <c r="AK163" i="1"/>
  <c r="AI163" i="1"/>
  <c r="AG163" i="1"/>
  <c r="AE163" i="1"/>
  <c r="AD163" i="1"/>
  <c r="AC163" i="1"/>
  <c r="AA163" i="1"/>
  <c r="Y163" i="1"/>
  <c r="W163" i="1"/>
  <c r="S163" i="1"/>
  <c r="Q163" i="1"/>
  <c r="CW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P162" i="1"/>
  <c r="AN162" i="1"/>
  <c r="AL162" i="1"/>
  <c r="AJ162" i="1"/>
  <c r="AH162" i="1"/>
  <c r="AF162" i="1"/>
  <c r="AB162" i="1"/>
  <c r="Z162" i="1"/>
  <c r="X162" i="1"/>
  <c r="V162" i="1"/>
  <c r="T162" i="1"/>
  <c r="R162" i="1"/>
  <c r="CW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P161" i="1"/>
  <c r="AN161" i="1"/>
  <c r="AL161" i="1"/>
  <c r="AJ161" i="1"/>
  <c r="AH161" i="1"/>
  <c r="AF161" i="1"/>
  <c r="AB161" i="1"/>
  <c r="Z161" i="1"/>
  <c r="X161" i="1"/>
  <c r="V161" i="1"/>
  <c r="T161" i="1"/>
  <c r="R161" i="1"/>
  <c r="CW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P160" i="1"/>
  <c r="AN160" i="1"/>
  <c r="AL160" i="1"/>
  <c r="AJ160" i="1"/>
  <c r="AH160" i="1"/>
  <c r="AF160" i="1"/>
  <c r="AB160" i="1"/>
  <c r="Z160" i="1"/>
  <c r="X160" i="1"/>
  <c r="V160" i="1"/>
  <c r="T160" i="1"/>
  <c r="R160" i="1"/>
  <c r="CW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P159" i="1"/>
  <c r="AN159" i="1"/>
  <c r="AL159" i="1"/>
  <c r="AJ159" i="1"/>
  <c r="AH159" i="1"/>
  <c r="AF159" i="1"/>
  <c r="AB159" i="1"/>
  <c r="Z159" i="1"/>
  <c r="X159" i="1"/>
  <c r="V159" i="1"/>
  <c r="T159" i="1"/>
  <c r="R159" i="1"/>
  <c r="CW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P158" i="1"/>
  <c r="AN158" i="1"/>
  <c r="AL158" i="1"/>
  <c r="AJ158" i="1"/>
  <c r="AH158" i="1"/>
  <c r="AF158" i="1"/>
  <c r="AB158" i="1"/>
  <c r="Z158" i="1"/>
  <c r="X158" i="1"/>
  <c r="V158" i="1"/>
  <c r="T158" i="1"/>
  <c r="R158" i="1"/>
  <c r="CW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P157" i="1"/>
  <c r="AN157" i="1"/>
  <c r="AL157" i="1"/>
  <c r="AJ157" i="1"/>
  <c r="AH157" i="1"/>
  <c r="AF157" i="1"/>
  <c r="AB157" i="1"/>
  <c r="Z157" i="1"/>
  <c r="X157" i="1"/>
  <c r="V157" i="1"/>
  <c r="T157" i="1"/>
  <c r="R157" i="1"/>
  <c r="CW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P156" i="1"/>
  <c r="AN156" i="1"/>
  <c r="AL156" i="1"/>
  <c r="AJ156" i="1"/>
  <c r="AH156" i="1"/>
  <c r="AF156" i="1"/>
  <c r="AB156" i="1"/>
  <c r="Z156" i="1"/>
  <c r="X156" i="1"/>
  <c r="V156" i="1"/>
  <c r="T156" i="1"/>
  <c r="R156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O155" i="1"/>
  <c r="AM155" i="1"/>
  <c r="AK155" i="1"/>
  <c r="AI155" i="1"/>
  <c r="AG155" i="1"/>
  <c r="AE155" i="1"/>
  <c r="AD155" i="1"/>
  <c r="AC155" i="1"/>
  <c r="AA155" i="1"/>
  <c r="Y155" i="1"/>
  <c r="W155" i="1"/>
  <c r="U155" i="1"/>
  <c r="S155" i="1"/>
  <c r="Q155" i="1"/>
  <c r="CW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P154" i="1"/>
  <c r="AN154" i="1"/>
  <c r="AL154" i="1"/>
  <c r="AJ154" i="1"/>
  <c r="AH154" i="1"/>
  <c r="AF154" i="1"/>
  <c r="AB154" i="1"/>
  <c r="Z154" i="1"/>
  <c r="X154" i="1"/>
  <c r="V154" i="1"/>
  <c r="T154" i="1"/>
  <c r="R154" i="1"/>
  <c r="CW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P153" i="1"/>
  <c r="AN153" i="1"/>
  <c r="AL153" i="1"/>
  <c r="AJ153" i="1"/>
  <c r="AH153" i="1"/>
  <c r="AF153" i="1"/>
  <c r="AB153" i="1"/>
  <c r="Z153" i="1"/>
  <c r="X153" i="1"/>
  <c r="V153" i="1"/>
  <c r="T153" i="1"/>
  <c r="R153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L152" i="1"/>
  <c r="BJ152" i="1"/>
  <c r="BH152" i="1"/>
  <c r="BF152" i="1"/>
  <c r="BD152" i="1"/>
  <c r="BB152" i="1"/>
  <c r="AZ152" i="1"/>
  <c r="AX152" i="1"/>
  <c r="AT152" i="1"/>
  <c r="AP152" i="1"/>
  <c r="AN152" i="1"/>
  <c r="AL152" i="1"/>
  <c r="AJ152" i="1"/>
  <c r="AH152" i="1"/>
  <c r="AF152" i="1"/>
  <c r="AB152" i="1"/>
  <c r="Z152" i="1"/>
  <c r="X152" i="1"/>
  <c r="V152" i="1"/>
  <c r="S152" i="1"/>
  <c r="S142" i="1" s="1"/>
  <c r="R152" i="1"/>
  <c r="CW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P151" i="1"/>
  <c r="AN151" i="1"/>
  <c r="AL151" i="1"/>
  <c r="AJ151" i="1"/>
  <c r="AH151" i="1"/>
  <c r="AF151" i="1"/>
  <c r="AB151" i="1"/>
  <c r="Z151" i="1"/>
  <c r="X151" i="1"/>
  <c r="V151" i="1"/>
  <c r="T151" i="1"/>
  <c r="R151" i="1"/>
  <c r="CW150" i="1"/>
  <c r="CT150" i="1"/>
  <c r="CR150" i="1"/>
  <c r="CP150" i="1"/>
  <c r="CN150" i="1"/>
  <c r="CL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B150" i="1"/>
  <c r="AZ150" i="1"/>
  <c r="AX150" i="1"/>
  <c r="AP150" i="1"/>
  <c r="AN150" i="1"/>
  <c r="AL150" i="1"/>
  <c r="AJ150" i="1"/>
  <c r="AH150" i="1"/>
  <c r="AF150" i="1"/>
  <c r="AB150" i="1"/>
  <c r="Z150" i="1"/>
  <c r="X150" i="1"/>
  <c r="V150" i="1"/>
  <c r="T150" i="1"/>
  <c r="R150" i="1"/>
  <c r="CW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P149" i="1"/>
  <c r="AN149" i="1"/>
  <c r="AL149" i="1"/>
  <c r="AJ149" i="1"/>
  <c r="AH149" i="1"/>
  <c r="AF149" i="1"/>
  <c r="AB149" i="1"/>
  <c r="Z149" i="1"/>
  <c r="X149" i="1"/>
  <c r="V149" i="1"/>
  <c r="T149" i="1"/>
  <c r="R149" i="1"/>
  <c r="CW148" i="1"/>
  <c r="CT148" i="1"/>
  <c r="CR148" i="1"/>
  <c r="CP148" i="1"/>
  <c r="CN148" i="1"/>
  <c r="CL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B148" i="1"/>
  <c r="AZ148" i="1"/>
  <c r="AX148" i="1"/>
  <c r="AP148" i="1"/>
  <c r="AN148" i="1"/>
  <c r="AL148" i="1"/>
  <c r="AJ148" i="1"/>
  <c r="AH148" i="1"/>
  <c r="AF148" i="1"/>
  <c r="AB148" i="1"/>
  <c r="Z148" i="1"/>
  <c r="X148" i="1"/>
  <c r="V148" i="1"/>
  <c r="T148" i="1"/>
  <c r="R148" i="1"/>
  <c r="CW147" i="1"/>
  <c r="CT147" i="1"/>
  <c r="CR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P147" i="1"/>
  <c r="AN147" i="1"/>
  <c r="AL147" i="1"/>
  <c r="AJ147" i="1"/>
  <c r="AH147" i="1"/>
  <c r="AF147" i="1"/>
  <c r="AB147" i="1"/>
  <c r="Z147" i="1"/>
  <c r="X147" i="1"/>
  <c r="V147" i="1"/>
  <c r="T147" i="1"/>
  <c r="R147" i="1"/>
  <c r="CW146" i="1"/>
  <c r="CV146" i="1"/>
  <c r="CT146" i="1"/>
  <c r="CR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P146" i="1"/>
  <c r="AN146" i="1"/>
  <c r="AL146" i="1"/>
  <c r="AJ146" i="1"/>
  <c r="AH146" i="1"/>
  <c r="AF146" i="1"/>
  <c r="AB146" i="1"/>
  <c r="Z146" i="1"/>
  <c r="X146" i="1"/>
  <c r="V146" i="1"/>
  <c r="T146" i="1"/>
  <c r="R146" i="1"/>
  <c r="CT145" i="1"/>
  <c r="CR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L145" i="1"/>
  <c r="BJ145" i="1"/>
  <c r="BH145" i="1"/>
  <c r="BF145" i="1"/>
  <c r="BD145" i="1"/>
  <c r="BB145" i="1"/>
  <c r="AZ145" i="1"/>
  <c r="AX145" i="1"/>
  <c r="AT145" i="1"/>
  <c r="AP145" i="1"/>
  <c r="AN145" i="1"/>
  <c r="AL145" i="1"/>
  <c r="AJ145" i="1"/>
  <c r="AH145" i="1"/>
  <c r="AE145" i="1"/>
  <c r="CW145" i="1" s="1"/>
  <c r="AB145" i="1"/>
  <c r="Z145" i="1"/>
  <c r="X145" i="1"/>
  <c r="V145" i="1"/>
  <c r="T145" i="1"/>
  <c r="R145" i="1"/>
  <c r="CW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P144" i="1"/>
  <c r="AN144" i="1"/>
  <c r="AL144" i="1"/>
  <c r="AJ144" i="1"/>
  <c r="AH144" i="1"/>
  <c r="AF144" i="1"/>
  <c r="AB144" i="1"/>
  <c r="Z144" i="1"/>
  <c r="X144" i="1"/>
  <c r="V144" i="1"/>
  <c r="T144" i="1"/>
  <c r="R144" i="1"/>
  <c r="CW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P143" i="1"/>
  <c r="AN143" i="1"/>
  <c r="AL143" i="1"/>
  <c r="AJ143" i="1"/>
  <c r="AH143" i="1"/>
  <c r="AF143" i="1"/>
  <c r="AB143" i="1"/>
  <c r="Z143" i="1"/>
  <c r="X143" i="1"/>
  <c r="V143" i="1"/>
  <c r="T143" i="1"/>
  <c r="R143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O142" i="1"/>
  <c r="AM142" i="1"/>
  <c r="AK142" i="1"/>
  <c r="AI142" i="1"/>
  <c r="AG142" i="1"/>
  <c r="AD142" i="1"/>
  <c r="AC142" i="1"/>
  <c r="AA142" i="1"/>
  <c r="Y142" i="1"/>
  <c r="W142" i="1"/>
  <c r="U142" i="1"/>
  <c r="Q142" i="1"/>
  <c r="CW141" i="1"/>
  <c r="CT141" i="1"/>
  <c r="CR141" i="1"/>
  <c r="CN141" i="1"/>
  <c r="CL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B141" i="1"/>
  <c r="AZ141" i="1"/>
  <c r="AX141" i="1"/>
  <c r="AP141" i="1"/>
  <c r="AN141" i="1"/>
  <c r="AL141" i="1"/>
  <c r="AJ141" i="1"/>
  <c r="AH141" i="1"/>
  <c r="AF141" i="1"/>
  <c r="AB141" i="1"/>
  <c r="Z141" i="1"/>
  <c r="X141" i="1"/>
  <c r="V141" i="1"/>
  <c r="T141" i="1"/>
  <c r="R141" i="1"/>
  <c r="CW140" i="1"/>
  <c r="CV140" i="1"/>
  <c r="CT140" i="1"/>
  <c r="CR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P140" i="1"/>
  <c r="AN140" i="1"/>
  <c r="AL140" i="1"/>
  <c r="AJ140" i="1"/>
  <c r="AH140" i="1"/>
  <c r="AF140" i="1"/>
  <c r="AB140" i="1"/>
  <c r="Z140" i="1"/>
  <c r="X140" i="1"/>
  <c r="V140" i="1"/>
  <c r="T140" i="1"/>
  <c r="R140" i="1"/>
  <c r="CW139" i="1"/>
  <c r="CV139" i="1"/>
  <c r="CT139" i="1"/>
  <c r="CR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P139" i="1"/>
  <c r="AN139" i="1"/>
  <c r="AL139" i="1"/>
  <c r="AJ139" i="1"/>
  <c r="AH139" i="1"/>
  <c r="AF139" i="1"/>
  <c r="AB139" i="1"/>
  <c r="Z139" i="1"/>
  <c r="X139" i="1"/>
  <c r="V139" i="1"/>
  <c r="T139" i="1"/>
  <c r="R139" i="1"/>
  <c r="CW138" i="1"/>
  <c r="CT138" i="1"/>
  <c r="CR138" i="1"/>
  <c r="CN138" i="1"/>
  <c r="CL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B138" i="1"/>
  <c r="AZ138" i="1"/>
  <c r="AX138" i="1"/>
  <c r="AP138" i="1"/>
  <c r="AN138" i="1"/>
  <c r="AL138" i="1"/>
  <c r="AJ138" i="1"/>
  <c r="AH138" i="1"/>
  <c r="AF138" i="1"/>
  <c r="AB138" i="1"/>
  <c r="Z138" i="1"/>
  <c r="X138" i="1"/>
  <c r="V138" i="1"/>
  <c r="T138" i="1"/>
  <c r="R138" i="1"/>
  <c r="CW137" i="1"/>
  <c r="CV137" i="1"/>
  <c r="CT137" i="1"/>
  <c r="CR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P137" i="1"/>
  <c r="AN137" i="1"/>
  <c r="AL137" i="1"/>
  <c r="AJ137" i="1"/>
  <c r="AH137" i="1"/>
  <c r="AF137" i="1"/>
  <c r="AB137" i="1"/>
  <c r="Z137" i="1"/>
  <c r="X137" i="1"/>
  <c r="V137" i="1"/>
  <c r="T137" i="1"/>
  <c r="R137" i="1"/>
  <c r="CW136" i="1"/>
  <c r="CV136" i="1"/>
  <c r="CT136" i="1"/>
  <c r="CR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P136" i="1"/>
  <c r="AN136" i="1"/>
  <c r="AL136" i="1"/>
  <c r="AJ136" i="1"/>
  <c r="AH136" i="1"/>
  <c r="AF136" i="1"/>
  <c r="AB136" i="1"/>
  <c r="Z136" i="1"/>
  <c r="X136" i="1"/>
  <c r="V136" i="1"/>
  <c r="T136" i="1"/>
  <c r="R136" i="1"/>
  <c r="CV135" i="1"/>
  <c r="CT135" i="1"/>
  <c r="CR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P135" i="1"/>
  <c r="AN135" i="1"/>
  <c r="AL135" i="1"/>
  <c r="AJ135" i="1"/>
  <c r="AH135" i="1"/>
  <c r="AE135" i="1"/>
  <c r="AF135" i="1" s="1"/>
  <c r="AB135" i="1"/>
  <c r="Z135" i="1"/>
  <c r="X135" i="1"/>
  <c r="V135" i="1"/>
  <c r="T135" i="1"/>
  <c r="R135" i="1"/>
  <c r="CV134" i="1"/>
  <c r="CT134" i="1"/>
  <c r="CR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P134" i="1"/>
  <c r="AN134" i="1"/>
  <c r="AL134" i="1"/>
  <c r="AJ134" i="1"/>
  <c r="AG134" i="1"/>
  <c r="AH134" i="1" s="1"/>
  <c r="AE134" i="1"/>
  <c r="AF134" i="1" s="1"/>
  <c r="AB134" i="1"/>
  <c r="Z134" i="1"/>
  <c r="X134" i="1"/>
  <c r="V134" i="1"/>
  <c r="T134" i="1"/>
  <c r="R134" i="1"/>
  <c r="CW133" i="1"/>
  <c r="CT133" i="1"/>
  <c r="CR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P133" i="1"/>
  <c r="AN133" i="1"/>
  <c r="AL133" i="1"/>
  <c r="AJ133" i="1"/>
  <c r="AH133" i="1"/>
  <c r="AF133" i="1"/>
  <c r="AB133" i="1"/>
  <c r="Z133" i="1"/>
  <c r="X133" i="1"/>
  <c r="V133" i="1"/>
  <c r="T133" i="1"/>
  <c r="R133" i="1"/>
  <c r="CW132" i="1"/>
  <c r="CT132" i="1"/>
  <c r="CR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P132" i="1"/>
  <c r="AN132" i="1"/>
  <c r="AL132" i="1"/>
  <c r="AJ132" i="1"/>
  <c r="AH132" i="1"/>
  <c r="AF132" i="1"/>
  <c r="AB132" i="1"/>
  <c r="Z132" i="1"/>
  <c r="X132" i="1"/>
  <c r="V132" i="1"/>
  <c r="T132" i="1"/>
  <c r="R132" i="1"/>
  <c r="CT131" i="1"/>
  <c r="CR131" i="1"/>
  <c r="CN131" i="1"/>
  <c r="CL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B131" i="1"/>
  <c r="AZ131" i="1"/>
  <c r="AX131" i="1"/>
  <c r="AP131" i="1"/>
  <c r="AN131" i="1"/>
  <c r="AL131" i="1"/>
  <c r="AJ131" i="1"/>
  <c r="AG131" i="1"/>
  <c r="AH131" i="1" s="1"/>
  <c r="AF131" i="1"/>
  <c r="AB131" i="1"/>
  <c r="Z131" i="1"/>
  <c r="X131" i="1"/>
  <c r="V131" i="1"/>
  <c r="T131" i="1"/>
  <c r="R131" i="1"/>
  <c r="CW130" i="1"/>
  <c r="CV130" i="1"/>
  <c r="CT130" i="1"/>
  <c r="CR130" i="1"/>
  <c r="CP130" i="1"/>
  <c r="CN130" i="1"/>
  <c r="CL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P130" i="1"/>
  <c r="AN130" i="1"/>
  <c r="AL130" i="1"/>
  <c r="AJ130" i="1"/>
  <c r="AH130" i="1"/>
  <c r="AF130" i="1"/>
  <c r="AB130" i="1"/>
  <c r="Z130" i="1"/>
  <c r="X130" i="1"/>
  <c r="V130" i="1"/>
  <c r="T130" i="1"/>
  <c r="R130" i="1"/>
  <c r="CW129" i="1"/>
  <c r="CV129" i="1"/>
  <c r="CT129" i="1"/>
  <c r="CR129" i="1"/>
  <c r="CP129" i="1"/>
  <c r="CN129" i="1"/>
  <c r="CL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P129" i="1"/>
  <c r="AN129" i="1"/>
  <c r="AL129" i="1"/>
  <c r="AJ129" i="1"/>
  <c r="AH129" i="1"/>
  <c r="AF129" i="1"/>
  <c r="AB129" i="1"/>
  <c r="Z129" i="1"/>
  <c r="X129" i="1"/>
  <c r="V129" i="1"/>
  <c r="T129" i="1"/>
  <c r="R129" i="1"/>
  <c r="CW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P128" i="1"/>
  <c r="AN128" i="1"/>
  <c r="AL128" i="1"/>
  <c r="AJ128" i="1"/>
  <c r="AH128" i="1"/>
  <c r="AF128" i="1"/>
  <c r="AB128" i="1"/>
  <c r="Z128" i="1"/>
  <c r="X128" i="1"/>
  <c r="V128" i="1"/>
  <c r="T128" i="1"/>
  <c r="R128" i="1"/>
  <c r="CW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P127" i="1"/>
  <c r="AN127" i="1"/>
  <c r="AL127" i="1"/>
  <c r="AJ127" i="1"/>
  <c r="AH127" i="1"/>
  <c r="AF127" i="1"/>
  <c r="AB127" i="1"/>
  <c r="Z127" i="1"/>
  <c r="X127" i="1"/>
  <c r="V127" i="1"/>
  <c r="T127" i="1"/>
  <c r="R127" i="1"/>
  <c r="CT126" i="1"/>
  <c r="CR126" i="1"/>
  <c r="CP126" i="1"/>
  <c r="CN126" i="1"/>
  <c r="CL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B126" i="1"/>
  <c r="AZ126" i="1"/>
  <c r="AX126" i="1"/>
  <c r="AP126" i="1"/>
  <c r="AN126" i="1"/>
  <c r="AL126" i="1"/>
  <c r="AJ126" i="1"/>
  <c r="AH126" i="1"/>
  <c r="AE126" i="1"/>
  <c r="CW126" i="1" s="1"/>
  <c r="AB126" i="1"/>
  <c r="Z126" i="1"/>
  <c r="X126" i="1"/>
  <c r="V126" i="1"/>
  <c r="T126" i="1"/>
  <c r="R126" i="1"/>
  <c r="CW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P125" i="1"/>
  <c r="AN125" i="1"/>
  <c r="AL125" i="1"/>
  <c r="AJ125" i="1"/>
  <c r="AH125" i="1"/>
  <c r="AF125" i="1"/>
  <c r="AB125" i="1"/>
  <c r="Z125" i="1"/>
  <c r="X125" i="1"/>
  <c r="V125" i="1"/>
  <c r="T125" i="1"/>
  <c r="R125" i="1"/>
  <c r="CW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P124" i="1"/>
  <c r="AN124" i="1"/>
  <c r="AL124" i="1"/>
  <c r="AJ124" i="1"/>
  <c r="AH124" i="1"/>
  <c r="AF124" i="1"/>
  <c r="AB124" i="1"/>
  <c r="Z124" i="1"/>
  <c r="X124" i="1"/>
  <c r="V124" i="1"/>
  <c r="T124" i="1"/>
  <c r="R124" i="1"/>
  <c r="CW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P123" i="1"/>
  <c r="AN123" i="1"/>
  <c r="AL123" i="1"/>
  <c r="AJ123" i="1"/>
  <c r="AH123" i="1"/>
  <c r="AF123" i="1"/>
  <c r="AB123" i="1"/>
  <c r="Z123" i="1"/>
  <c r="X123" i="1"/>
  <c r="V123" i="1"/>
  <c r="T123" i="1"/>
  <c r="R123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O122" i="1"/>
  <c r="AM122" i="1"/>
  <c r="AK122" i="1"/>
  <c r="AI122" i="1"/>
  <c r="AD122" i="1"/>
  <c r="AC122" i="1"/>
  <c r="AA122" i="1"/>
  <c r="Y122" i="1"/>
  <c r="W122" i="1"/>
  <c r="U122" i="1"/>
  <c r="S122" i="1"/>
  <c r="Q122" i="1"/>
  <c r="CW121" i="1"/>
  <c r="CT121" i="1"/>
  <c r="CR121" i="1"/>
  <c r="CP121" i="1"/>
  <c r="CN121" i="1"/>
  <c r="CH121" i="1"/>
  <c r="CF121" i="1"/>
  <c r="CD121" i="1"/>
  <c r="CB121" i="1"/>
  <c r="BZ121" i="1"/>
  <c r="BX121" i="1"/>
  <c r="BT121" i="1"/>
  <c r="BP121" i="1"/>
  <c r="BN121" i="1"/>
  <c r="BL121" i="1"/>
  <c r="BJ121" i="1"/>
  <c r="BH121" i="1"/>
  <c r="BF121" i="1"/>
  <c r="BD121" i="1"/>
  <c r="BB121" i="1"/>
  <c r="AZ121" i="1"/>
  <c r="AX121" i="1"/>
  <c r="AP121" i="1"/>
  <c r="AN121" i="1"/>
  <c r="AL121" i="1"/>
  <c r="AJ121" i="1"/>
  <c r="AH121" i="1"/>
  <c r="AF121" i="1"/>
  <c r="AB121" i="1"/>
  <c r="Z121" i="1"/>
  <c r="X121" i="1"/>
  <c r="V121" i="1"/>
  <c r="T121" i="1"/>
  <c r="R121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P120" i="1"/>
  <c r="AM120" i="1"/>
  <c r="AN120" i="1" s="1"/>
  <c r="AL120" i="1"/>
  <c r="AJ120" i="1"/>
  <c r="AH120" i="1"/>
  <c r="AF120" i="1"/>
  <c r="AB120" i="1"/>
  <c r="Y120" i="1"/>
  <c r="Z120" i="1" s="1"/>
  <c r="X120" i="1"/>
  <c r="V120" i="1"/>
  <c r="T120" i="1"/>
  <c r="R120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P119" i="1"/>
  <c r="AN119" i="1"/>
  <c r="AK119" i="1"/>
  <c r="AJ119" i="1"/>
  <c r="AG119" i="1"/>
  <c r="AH119" i="1" s="1"/>
  <c r="AF119" i="1"/>
  <c r="AB119" i="1"/>
  <c r="Z119" i="1"/>
  <c r="X119" i="1"/>
  <c r="V119" i="1"/>
  <c r="T119" i="1"/>
  <c r="R119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P118" i="1"/>
  <c r="AN118" i="1"/>
  <c r="AK118" i="1"/>
  <c r="AL118" i="1" s="1"/>
  <c r="AJ118" i="1"/>
  <c r="AH118" i="1"/>
  <c r="AF118" i="1"/>
  <c r="AB118" i="1"/>
  <c r="Z118" i="1"/>
  <c r="X118" i="1"/>
  <c r="V118" i="1"/>
  <c r="T118" i="1"/>
  <c r="R118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O117" i="1"/>
  <c r="AM117" i="1"/>
  <c r="AI117" i="1"/>
  <c r="AE117" i="1"/>
  <c r="AD117" i="1"/>
  <c r="AC117" i="1"/>
  <c r="AA117" i="1"/>
  <c r="Y117" i="1"/>
  <c r="W117" i="1"/>
  <c r="U117" i="1"/>
  <c r="S117" i="1"/>
  <c r="Q117" i="1"/>
  <c r="CW116" i="1"/>
  <c r="CV116" i="1"/>
  <c r="CT116" i="1"/>
  <c r="CR116" i="1"/>
  <c r="CP116" i="1"/>
  <c r="CN116" i="1"/>
  <c r="CL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P116" i="1"/>
  <c r="AN116" i="1"/>
  <c r="AL116" i="1"/>
  <c r="AJ116" i="1"/>
  <c r="AH116" i="1"/>
  <c r="AF116" i="1"/>
  <c r="AB116" i="1"/>
  <c r="Z116" i="1"/>
  <c r="X116" i="1"/>
  <c r="V116" i="1"/>
  <c r="T116" i="1"/>
  <c r="R116" i="1"/>
  <c r="CV115" i="1"/>
  <c r="CT115" i="1"/>
  <c r="CR115" i="1"/>
  <c r="CP115" i="1"/>
  <c r="CP107" i="1" s="1"/>
  <c r="CN115" i="1"/>
  <c r="CL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P115" i="1"/>
  <c r="AN115" i="1"/>
  <c r="AK115" i="1"/>
  <c r="CW115" i="1" s="1"/>
  <c r="AJ115" i="1"/>
  <c r="AH115" i="1"/>
  <c r="AF115" i="1"/>
  <c r="AB115" i="1"/>
  <c r="Z115" i="1"/>
  <c r="X115" i="1"/>
  <c r="V115" i="1"/>
  <c r="T115" i="1"/>
  <c r="R115" i="1"/>
  <c r="CW114" i="1"/>
  <c r="CV114" i="1"/>
  <c r="CT114" i="1"/>
  <c r="CR114" i="1"/>
  <c r="CP114" i="1"/>
  <c r="CN114" i="1"/>
  <c r="CL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P114" i="1"/>
  <c r="AN114" i="1"/>
  <c r="AL114" i="1"/>
  <c r="AJ114" i="1"/>
  <c r="AH114" i="1"/>
  <c r="AF114" i="1"/>
  <c r="AB114" i="1"/>
  <c r="Z114" i="1"/>
  <c r="X114" i="1"/>
  <c r="V114" i="1"/>
  <c r="T114" i="1"/>
  <c r="R114" i="1"/>
  <c r="CW113" i="1"/>
  <c r="CV113" i="1"/>
  <c r="CT113" i="1"/>
  <c r="CR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P113" i="1"/>
  <c r="AN113" i="1"/>
  <c r="AL113" i="1"/>
  <c r="AJ113" i="1"/>
  <c r="AH113" i="1"/>
  <c r="AF113" i="1"/>
  <c r="AB113" i="1"/>
  <c r="Z113" i="1"/>
  <c r="X113" i="1"/>
  <c r="V113" i="1"/>
  <c r="T113" i="1"/>
  <c r="R113" i="1"/>
  <c r="CW112" i="1"/>
  <c r="CV112" i="1"/>
  <c r="CT112" i="1"/>
  <c r="CR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P112" i="1"/>
  <c r="AN112" i="1"/>
  <c r="AL112" i="1"/>
  <c r="AJ112" i="1"/>
  <c r="AH112" i="1"/>
  <c r="AF112" i="1"/>
  <c r="AB112" i="1"/>
  <c r="Z112" i="1"/>
  <c r="X112" i="1"/>
  <c r="V112" i="1"/>
  <c r="T112" i="1"/>
  <c r="R112" i="1"/>
  <c r="CW111" i="1"/>
  <c r="CV111" i="1"/>
  <c r="CT111" i="1"/>
  <c r="CR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P111" i="1"/>
  <c r="AN111" i="1"/>
  <c r="AL111" i="1"/>
  <c r="AJ111" i="1"/>
  <c r="AH111" i="1"/>
  <c r="AF111" i="1"/>
  <c r="AB111" i="1"/>
  <c r="Z111" i="1"/>
  <c r="X111" i="1"/>
  <c r="V111" i="1"/>
  <c r="T111" i="1"/>
  <c r="R111" i="1"/>
  <c r="CT110" i="1"/>
  <c r="CR110" i="1"/>
  <c r="CN110" i="1"/>
  <c r="CL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B110" i="1"/>
  <c r="AZ110" i="1"/>
  <c r="AX110" i="1"/>
  <c r="AP110" i="1"/>
  <c r="AN110" i="1"/>
  <c r="AL110" i="1"/>
  <c r="AJ110" i="1"/>
  <c r="AH110" i="1"/>
  <c r="AE110" i="1"/>
  <c r="AF110" i="1" s="1"/>
  <c r="AB110" i="1"/>
  <c r="Z110" i="1"/>
  <c r="X110" i="1"/>
  <c r="V110" i="1"/>
  <c r="T110" i="1"/>
  <c r="R110" i="1"/>
  <c r="CT109" i="1"/>
  <c r="CR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P109" i="1"/>
  <c r="AN109" i="1"/>
  <c r="AK109" i="1"/>
  <c r="AL109" i="1" s="1"/>
  <c r="AJ109" i="1"/>
  <c r="AH109" i="1"/>
  <c r="AF109" i="1"/>
  <c r="AB109" i="1"/>
  <c r="Z109" i="1"/>
  <c r="X109" i="1"/>
  <c r="V109" i="1"/>
  <c r="T109" i="1"/>
  <c r="R109" i="1"/>
  <c r="CT108" i="1"/>
  <c r="CR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P108" i="1"/>
  <c r="AN108" i="1"/>
  <c r="AK108" i="1"/>
  <c r="AL108" i="1" s="1"/>
  <c r="AJ108" i="1"/>
  <c r="AH108" i="1"/>
  <c r="AF108" i="1"/>
  <c r="AB108" i="1"/>
  <c r="Z108" i="1"/>
  <c r="X108" i="1"/>
  <c r="V108" i="1"/>
  <c r="T108" i="1"/>
  <c r="R108" i="1"/>
  <c r="CV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O107" i="1"/>
  <c r="AM107" i="1"/>
  <c r="AI107" i="1"/>
  <c r="AG107" i="1"/>
  <c r="AD107" i="1"/>
  <c r="AC107" i="1"/>
  <c r="AA107" i="1"/>
  <c r="Y107" i="1"/>
  <c r="W107" i="1"/>
  <c r="U107" i="1"/>
  <c r="S107" i="1"/>
  <c r="Q107" i="1"/>
  <c r="CW106" i="1"/>
  <c r="CT106" i="1"/>
  <c r="CR106" i="1"/>
  <c r="CP106" i="1"/>
  <c r="CN106" i="1"/>
  <c r="CL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P106" i="1"/>
  <c r="AN106" i="1"/>
  <c r="AL106" i="1"/>
  <c r="AJ106" i="1"/>
  <c r="AH106" i="1"/>
  <c r="AF106" i="1"/>
  <c r="AB106" i="1"/>
  <c r="Z106" i="1"/>
  <c r="X106" i="1"/>
  <c r="V106" i="1"/>
  <c r="T106" i="1"/>
  <c r="R106" i="1"/>
  <c r="CW105" i="1"/>
  <c r="CT105" i="1"/>
  <c r="CR105" i="1"/>
  <c r="CP105" i="1"/>
  <c r="CN105" i="1"/>
  <c r="CH105" i="1"/>
  <c r="CF105" i="1"/>
  <c r="CD105" i="1"/>
  <c r="CB105" i="1"/>
  <c r="BZ105" i="1"/>
  <c r="BX105" i="1"/>
  <c r="BT105" i="1"/>
  <c r="BP105" i="1"/>
  <c r="BN105" i="1"/>
  <c r="BL105" i="1"/>
  <c r="BJ105" i="1"/>
  <c r="BH105" i="1"/>
  <c r="BF105" i="1"/>
  <c r="BD105" i="1"/>
  <c r="BB105" i="1"/>
  <c r="AZ105" i="1"/>
  <c r="AX105" i="1"/>
  <c r="AP105" i="1"/>
  <c r="AN105" i="1"/>
  <c r="AL105" i="1"/>
  <c r="AJ105" i="1"/>
  <c r="AH105" i="1"/>
  <c r="AF105" i="1"/>
  <c r="AB105" i="1"/>
  <c r="Z105" i="1"/>
  <c r="X105" i="1"/>
  <c r="V105" i="1"/>
  <c r="T105" i="1"/>
  <c r="R105" i="1"/>
  <c r="CW104" i="1"/>
  <c r="CT104" i="1"/>
  <c r="CR104" i="1"/>
  <c r="CP104" i="1"/>
  <c r="CN104" i="1"/>
  <c r="CH104" i="1"/>
  <c r="CF104" i="1"/>
  <c r="CD104" i="1"/>
  <c r="CB104" i="1"/>
  <c r="BZ104" i="1"/>
  <c r="BX104" i="1"/>
  <c r="BT104" i="1"/>
  <c r="BP104" i="1"/>
  <c r="BN104" i="1"/>
  <c r="BL104" i="1"/>
  <c r="BJ104" i="1"/>
  <c r="BH104" i="1"/>
  <c r="BF104" i="1"/>
  <c r="BD104" i="1"/>
  <c r="BB104" i="1"/>
  <c r="AZ104" i="1"/>
  <c r="AX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CW103" i="1"/>
  <c r="CT103" i="1"/>
  <c r="CR103" i="1"/>
  <c r="CP103" i="1"/>
  <c r="CN103" i="1"/>
  <c r="CH103" i="1"/>
  <c r="CF103" i="1"/>
  <c r="CD103" i="1"/>
  <c r="CB103" i="1"/>
  <c r="BZ103" i="1"/>
  <c r="BX103" i="1"/>
  <c r="BT103" i="1"/>
  <c r="BP103" i="1"/>
  <c r="BN103" i="1"/>
  <c r="BL103" i="1"/>
  <c r="BJ103" i="1"/>
  <c r="BH103" i="1"/>
  <c r="BF103" i="1"/>
  <c r="BD103" i="1"/>
  <c r="BB103" i="1"/>
  <c r="AZ103" i="1"/>
  <c r="AX103" i="1"/>
  <c r="AP103" i="1"/>
  <c r="AN103" i="1"/>
  <c r="AL103" i="1"/>
  <c r="AJ103" i="1"/>
  <c r="AH103" i="1"/>
  <c r="AF103" i="1"/>
  <c r="AB103" i="1"/>
  <c r="Z103" i="1"/>
  <c r="X103" i="1"/>
  <c r="V103" i="1"/>
  <c r="T103" i="1"/>
  <c r="R103" i="1"/>
  <c r="CW102" i="1"/>
  <c r="CT102" i="1"/>
  <c r="CR102" i="1"/>
  <c r="CP102" i="1"/>
  <c r="CN102" i="1"/>
  <c r="CH102" i="1"/>
  <c r="CF102" i="1"/>
  <c r="CD102" i="1"/>
  <c r="CB102" i="1"/>
  <c r="BZ102" i="1"/>
  <c r="BX102" i="1"/>
  <c r="BT102" i="1"/>
  <c r="BP102" i="1"/>
  <c r="BN102" i="1"/>
  <c r="BL102" i="1"/>
  <c r="BJ102" i="1"/>
  <c r="BH102" i="1"/>
  <c r="BF102" i="1"/>
  <c r="BD102" i="1"/>
  <c r="BB102" i="1"/>
  <c r="AZ102" i="1"/>
  <c r="AX102" i="1"/>
  <c r="AP102" i="1"/>
  <c r="AN102" i="1"/>
  <c r="AL102" i="1"/>
  <c r="AJ102" i="1"/>
  <c r="AH102" i="1"/>
  <c r="AF102" i="1"/>
  <c r="AB102" i="1"/>
  <c r="Z102" i="1"/>
  <c r="X102" i="1"/>
  <c r="V102" i="1"/>
  <c r="T102" i="1"/>
  <c r="R102" i="1"/>
  <c r="CW101" i="1"/>
  <c r="CT101" i="1"/>
  <c r="CR101" i="1"/>
  <c r="CP101" i="1"/>
  <c r="CN101" i="1"/>
  <c r="CL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P101" i="1"/>
  <c r="AN101" i="1"/>
  <c r="AL101" i="1"/>
  <c r="AJ101" i="1"/>
  <c r="AH101" i="1"/>
  <c r="AF101" i="1"/>
  <c r="AB101" i="1"/>
  <c r="Z101" i="1"/>
  <c r="X101" i="1"/>
  <c r="V101" i="1"/>
  <c r="T101" i="1"/>
  <c r="R101" i="1"/>
  <c r="CW100" i="1"/>
  <c r="CT100" i="1"/>
  <c r="CR100" i="1"/>
  <c r="CP100" i="1"/>
  <c r="CN100" i="1"/>
  <c r="CL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P100" i="1"/>
  <c r="AN100" i="1"/>
  <c r="AL100" i="1"/>
  <c r="AJ100" i="1"/>
  <c r="AH100" i="1"/>
  <c r="AF100" i="1"/>
  <c r="AB100" i="1"/>
  <c r="Z100" i="1"/>
  <c r="X100" i="1"/>
  <c r="V100" i="1"/>
  <c r="T100" i="1"/>
  <c r="R100" i="1"/>
  <c r="CW99" i="1"/>
  <c r="CT99" i="1"/>
  <c r="CR99" i="1"/>
  <c r="CN99" i="1"/>
  <c r="CL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P99" i="1"/>
  <c r="AN99" i="1"/>
  <c r="AL99" i="1"/>
  <c r="AJ99" i="1"/>
  <c r="AH99" i="1"/>
  <c r="AF99" i="1"/>
  <c r="AB99" i="1"/>
  <c r="Z99" i="1"/>
  <c r="X99" i="1"/>
  <c r="V99" i="1"/>
  <c r="T99" i="1"/>
  <c r="R99" i="1"/>
  <c r="CT98" i="1"/>
  <c r="CR98" i="1"/>
  <c r="CN98" i="1"/>
  <c r="CK98" i="1"/>
  <c r="CL98" i="1" s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P98" i="1"/>
  <c r="AN98" i="1"/>
  <c r="AL98" i="1"/>
  <c r="AJ98" i="1"/>
  <c r="AH98" i="1"/>
  <c r="AF98" i="1"/>
  <c r="AB98" i="1"/>
  <c r="Z98" i="1"/>
  <c r="X98" i="1"/>
  <c r="U98" i="1"/>
  <c r="T98" i="1"/>
  <c r="R98" i="1"/>
  <c r="CW97" i="1"/>
  <c r="CT97" i="1"/>
  <c r="CR97" i="1"/>
  <c r="CN97" i="1"/>
  <c r="CL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P97" i="1"/>
  <c r="AN97" i="1"/>
  <c r="AL97" i="1"/>
  <c r="AJ97" i="1"/>
  <c r="AH97" i="1"/>
  <c r="AF97" i="1"/>
  <c r="AB97" i="1"/>
  <c r="Z97" i="1"/>
  <c r="X97" i="1"/>
  <c r="V97" i="1"/>
  <c r="T97" i="1"/>
  <c r="R97" i="1"/>
  <c r="CW96" i="1"/>
  <c r="CT96" i="1"/>
  <c r="CR96" i="1"/>
  <c r="CN96" i="1"/>
  <c r="CL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P96" i="1"/>
  <c r="AN96" i="1"/>
  <c r="AL96" i="1"/>
  <c r="AJ96" i="1"/>
  <c r="AH96" i="1"/>
  <c r="AF96" i="1"/>
  <c r="AB96" i="1"/>
  <c r="Z96" i="1"/>
  <c r="X96" i="1"/>
  <c r="V96" i="1"/>
  <c r="T96" i="1"/>
  <c r="R96" i="1"/>
  <c r="CW95" i="1"/>
  <c r="CT95" i="1"/>
  <c r="CR95" i="1"/>
  <c r="CN95" i="1"/>
  <c r="CL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B95" i="1"/>
  <c r="AZ95" i="1"/>
  <c r="AX95" i="1"/>
  <c r="AP95" i="1"/>
  <c r="AN95" i="1"/>
  <c r="AL95" i="1"/>
  <c r="AJ95" i="1"/>
  <c r="AH95" i="1"/>
  <c r="AF95" i="1"/>
  <c r="AB95" i="1"/>
  <c r="Z95" i="1"/>
  <c r="X95" i="1"/>
  <c r="V95" i="1"/>
  <c r="T95" i="1"/>
  <c r="R95" i="1"/>
  <c r="CW94" i="1"/>
  <c r="CT94" i="1"/>
  <c r="CR94" i="1"/>
  <c r="CN94" i="1"/>
  <c r="CL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P94" i="1"/>
  <c r="AN94" i="1"/>
  <c r="AL94" i="1"/>
  <c r="AJ94" i="1"/>
  <c r="AH94" i="1"/>
  <c r="AF94" i="1"/>
  <c r="AB94" i="1"/>
  <c r="Z94" i="1"/>
  <c r="X94" i="1"/>
  <c r="V94" i="1"/>
  <c r="T94" i="1"/>
  <c r="R94" i="1"/>
  <c r="CW93" i="1"/>
  <c r="CT93" i="1"/>
  <c r="CR93" i="1"/>
  <c r="CN93" i="1"/>
  <c r="CL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P93" i="1"/>
  <c r="AN93" i="1"/>
  <c r="AL93" i="1"/>
  <c r="AJ93" i="1"/>
  <c r="AH93" i="1"/>
  <c r="AF93" i="1"/>
  <c r="AB93" i="1"/>
  <c r="Z93" i="1"/>
  <c r="X93" i="1"/>
  <c r="V93" i="1"/>
  <c r="T93" i="1"/>
  <c r="R93" i="1"/>
  <c r="CT92" i="1"/>
  <c r="CR92" i="1"/>
  <c r="CN92" i="1"/>
  <c r="CL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P92" i="1"/>
  <c r="AN92" i="1"/>
  <c r="AL92" i="1"/>
  <c r="AJ92" i="1"/>
  <c r="AH92" i="1"/>
  <c r="AE92" i="1"/>
  <c r="AF92" i="1" s="1"/>
  <c r="AB92" i="1"/>
  <c r="Z92" i="1"/>
  <c r="X92" i="1"/>
  <c r="V92" i="1"/>
  <c r="T92" i="1"/>
  <c r="R92" i="1"/>
  <c r="CW91" i="1"/>
  <c r="CT91" i="1"/>
  <c r="CR91" i="1"/>
  <c r="CN91" i="1"/>
  <c r="CL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P91" i="1"/>
  <c r="AN91" i="1"/>
  <c r="AL91" i="1"/>
  <c r="AJ91" i="1"/>
  <c r="AH91" i="1"/>
  <c r="AF91" i="1"/>
  <c r="AB91" i="1"/>
  <c r="Z91" i="1"/>
  <c r="X91" i="1"/>
  <c r="V91" i="1"/>
  <c r="T91" i="1"/>
  <c r="R91" i="1"/>
  <c r="CW90" i="1"/>
  <c r="CT90" i="1"/>
  <c r="CR90" i="1"/>
  <c r="CN90" i="1"/>
  <c r="CL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P90" i="1"/>
  <c r="AN90" i="1"/>
  <c r="AL90" i="1"/>
  <c r="AJ90" i="1"/>
  <c r="AH90" i="1"/>
  <c r="AF90" i="1"/>
  <c r="AB90" i="1"/>
  <c r="Z90" i="1"/>
  <c r="X90" i="1"/>
  <c r="V90" i="1"/>
  <c r="T90" i="1"/>
  <c r="R90" i="1"/>
  <c r="CW89" i="1"/>
  <c r="CT89" i="1"/>
  <c r="CR89" i="1"/>
  <c r="CN89" i="1"/>
  <c r="CL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P89" i="1"/>
  <c r="AN89" i="1"/>
  <c r="AL89" i="1"/>
  <c r="AJ89" i="1"/>
  <c r="AH89" i="1"/>
  <c r="AF89" i="1"/>
  <c r="AB89" i="1"/>
  <c r="Z89" i="1"/>
  <c r="X89" i="1"/>
  <c r="V89" i="1"/>
  <c r="T89" i="1"/>
  <c r="R89" i="1"/>
  <c r="CW88" i="1"/>
  <c r="CT88" i="1"/>
  <c r="CR88" i="1"/>
  <c r="CN88" i="1"/>
  <c r="CL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P88" i="1"/>
  <c r="AN88" i="1"/>
  <c r="AL88" i="1"/>
  <c r="AJ88" i="1"/>
  <c r="AH88" i="1"/>
  <c r="AF88" i="1"/>
  <c r="AB88" i="1"/>
  <c r="Z88" i="1"/>
  <c r="X88" i="1"/>
  <c r="V88" i="1"/>
  <c r="T88" i="1"/>
  <c r="R88" i="1"/>
  <c r="CV87" i="1"/>
  <c r="CU87" i="1"/>
  <c r="CS87" i="1"/>
  <c r="CQ87" i="1"/>
  <c r="CO87" i="1"/>
  <c r="CM87" i="1"/>
  <c r="CK87" i="1"/>
  <c r="CJ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O87" i="1"/>
  <c r="AM87" i="1"/>
  <c r="AK87" i="1"/>
  <c r="AI87" i="1"/>
  <c r="AG87" i="1"/>
  <c r="AD87" i="1"/>
  <c r="AC87" i="1"/>
  <c r="AA87" i="1"/>
  <c r="Y87" i="1"/>
  <c r="W87" i="1"/>
  <c r="S87" i="1"/>
  <c r="Q87" i="1"/>
  <c r="CW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P86" i="1"/>
  <c r="AN86" i="1"/>
  <c r="AL86" i="1"/>
  <c r="AJ86" i="1"/>
  <c r="AH86" i="1"/>
  <c r="AF86" i="1"/>
  <c r="AB86" i="1"/>
  <c r="Z86" i="1"/>
  <c r="X86" i="1"/>
  <c r="V86" i="1"/>
  <c r="T86" i="1"/>
  <c r="R86" i="1"/>
  <c r="CW85" i="1"/>
  <c r="CT85" i="1"/>
  <c r="CR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P85" i="1"/>
  <c r="AN85" i="1"/>
  <c r="AL85" i="1"/>
  <c r="AJ85" i="1"/>
  <c r="AH85" i="1"/>
  <c r="AF85" i="1"/>
  <c r="AB85" i="1"/>
  <c r="Z85" i="1"/>
  <c r="X85" i="1"/>
  <c r="V85" i="1"/>
  <c r="T85" i="1"/>
  <c r="R85" i="1"/>
  <c r="CW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P84" i="1"/>
  <c r="AN84" i="1"/>
  <c r="AL84" i="1"/>
  <c r="AJ84" i="1"/>
  <c r="AH84" i="1"/>
  <c r="AF84" i="1"/>
  <c r="AB84" i="1"/>
  <c r="Z84" i="1"/>
  <c r="X84" i="1"/>
  <c r="V84" i="1"/>
  <c r="T84" i="1"/>
  <c r="R84" i="1"/>
  <c r="CW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P83" i="1"/>
  <c r="AN83" i="1"/>
  <c r="AL83" i="1"/>
  <c r="AJ83" i="1"/>
  <c r="AH83" i="1"/>
  <c r="AF83" i="1"/>
  <c r="AB83" i="1"/>
  <c r="Z83" i="1"/>
  <c r="X83" i="1"/>
  <c r="V83" i="1"/>
  <c r="T83" i="1"/>
  <c r="R83" i="1"/>
  <c r="DM82" i="1"/>
  <c r="DL82" i="1"/>
  <c r="CV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O82" i="1"/>
  <c r="AM82" i="1"/>
  <c r="AK82" i="1"/>
  <c r="AI82" i="1"/>
  <c r="AG82" i="1"/>
  <c r="AE82" i="1"/>
  <c r="AD82" i="1"/>
  <c r="AC82" i="1"/>
  <c r="AA82" i="1"/>
  <c r="Y82" i="1"/>
  <c r="W82" i="1"/>
  <c r="U82" i="1"/>
  <c r="S82" i="1"/>
  <c r="Q82" i="1"/>
  <c r="CW81" i="1"/>
  <c r="CT81" i="1"/>
  <c r="CR81" i="1"/>
  <c r="CP81" i="1"/>
  <c r="CN81" i="1"/>
  <c r="CH81" i="1"/>
  <c r="CF81" i="1"/>
  <c r="CD81" i="1"/>
  <c r="CB81" i="1"/>
  <c r="BZ81" i="1"/>
  <c r="BX81" i="1"/>
  <c r="BT81" i="1"/>
  <c r="BP81" i="1"/>
  <c r="BN81" i="1"/>
  <c r="BL81" i="1"/>
  <c r="BJ81" i="1"/>
  <c r="BH81" i="1"/>
  <c r="BF81" i="1"/>
  <c r="BD81" i="1"/>
  <c r="BB81" i="1"/>
  <c r="AZ81" i="1"/>
  <c r="AX81" i="1"/>
  <c r="AP81" i="1"/>
  <c r="AN81" i="1"/>
  <c r="AL81" i="1"/>
  <c r="AJ81" i="1"/>
  <c r="AH81" i="1"/>
  <c r="AF81" i="1"/>
  <c r="AB81" i="1"/>
  <c r="Z81" i="1"/>
  <c r="X81" i="1"/>
  <c r="V81" i="1"/>
  <c r="T81" i="1"/>
  <c r="R81" i="1"/>
  <c r="CW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P80" i="1"/>
  <c r="AN80" i="1"/>
  <c r="AL80" i="1"/>
  <c r="AJ80" i="1"/>
  <c r="AH80" i="1"/>
  <c r="AF80" i="1"/>
  <c r="AB80" i="1"/>
  <c r="Z80" i="1"/>
  <c r="X80" i="1"/>
  <c r="V80" i="1"/>
  <c r="T80" i="1"/>
  <c r="R80" i="1"/>
  <c r="CW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P79" i="1"/>
  <c r="AN79" i="1"/>
  <c r="AL79" i="1"/>
  <c r="AJ79" i="1"/>
  <c r="AH79" i="1"/>
  <c r="AF79" i="1"/>
  <c r="AB79" i="1"/>
  <c r="Z79" i="1"/>
  <c r="X79" i="1"/>
  <c r="V79" i="1"/>
  <c r="T79" i="1"/>
  <c r="R79" i="1"/>
  <c r="CW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P78" i="1"/>
  <c r="AN78" i="1"/>
  <c r="AL78" i="1"/>
  <c r="AJ78" i="1"/>
  <c r="AH78" i="1"/>
  <c r="AH74" i="1" s="1"/>
  <c r="AF78" i="1"/>
  <c r="AB78" i="1"/>
  <c r="Z78" i="1"/>
  <c r="X78" i="1"/>
  <c r="V78" i="1"/>
  <c r="T78" i="1"/>
  <c r="T74" i="1" s="1"/>
  <c r="R78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P77" i="1"/>
  <c r="AN77" i="1"/>
  <c r="AL77" i="1"/>
  <c r="AJ77" i="1"/>
  <c r="AH77" i="1"/>
  <c r="AF77" i="1"/>
  <c r="AB77" i="1"/>
  <c r="Z77" i="1"/>
  <c r="X77" i="1"/>
  <c r="U77" i="1"/>
  <c r="V77" i="1" s="1"/>
  <c r="T77" i="1"/>
  <c r="R77" i="1"/>
  <c r="CW76" i="1"/>
  <c r="CT76" i="1"/>
  <c r="CR76" i="1"/>
  <c r="CP76" i="1"/>
  <c r="CN76" i="1"/>
  <c r="CL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B76" i="1"/>
  <c r="AZ76" i="1"/>
  <c r="AX76" i="1"/>
  <c r="AP76" i="1"/>
  <c r="AN76" i="1"/>
  <c r="AL76" i="1"/>
  <c r="AJ76" i="1"/>
  <c r="AH76" i="1"/>
  <c r="AF76" i="1"/>
  <c r="AB76" i="1"/>
  <c r="Z76" i="1"/>
  <c r="X76" i="1"/>
  <c r="V76" i="1"/>
  <c r="T76" i="1"/>
  <c r="R76" i="1"/>
  <c r="CW75" i="1"/>
  <c r="CT75" i="1"/>
  <c r="CR75" i="1"/>
  <c r="CP75" i="1"/>
  <c r="CN75" i="1"/>
  <c r="CL75" i="1"/>
  <c r="CH75" i="1"/>
  <c r="CF75" i="1"/>
  <c r="CD75" i="1"/>
  <c r="CB75" i="1"/>
  <c r="CB74" i="1" s="1"/>
  <c r="BZ75" i="1"/>
  <c r="BX75" i="1"/>
  <c r="BV75" i="1"/>
  <c r="BT75" i="1"/>
  <c r="BR75" i="1"/>
  <c r="BP75" i="1"/>
  <c r="BP74" i="1" s="1"/>
  <c r="BN75" i="1"/>
  <c r="BL75" i="1"/>
  <c r="BJ75" i="1"/>
  <c r="BH75" i="1"/>
  <c r="BF75" i="1"/>
  <c r="BB75" i="1"/>
  <c r="AZ75" i="1"/>
  <c r="AX75" i="1"/>
  <c r="AP75" i="1"/>
  <c r="AN75" i="1"/>
  <c r="AL75" i="1"/>
  <c r="AJ75" i="1"/>
  <c r="AJ74" i="1" s="1"/>
  <c r="AH75" i="1"/>
  <c r="AF75" i="1"/>
  <c r="AB75" i="1"/>
  <c r="Z75" i="1"/>
  <c r="X75" i="1"/>
  <c r="V75" i="1"/>
  <c r="T75" i="1"/>
  <c r="R75" i="1"/>
  <c r="CV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O74" i="1"/>
  <c r="AM74" i="1"/>
  <c r="AK74" i="1"/>
  <c r="AI74" i="1"/>
  <c r="AG74" i="1"/>
  <c r="AE74" i="1"/>
  <c r="AD74" i="1"/>
  <c r="AC74" i="1"/>
  <c r="AA74" i="1"/>
  <c r="Y74" i="1"/>
  <c r="W74" i="1"/>
  <c r="S74" i="1"/>
  <c r="Q74" i="1"/>
  <c r="CW73" i="1"/>
  <c r="CT73" i="1"/>
  <c r="CR73" i="1"/>
  <c r="CP73" i="1"/>
  <c r="CN73" i="1"/>
  <c r="CH73" i="1"/>
  <c r="CF73" i="1"/>
  <c r="CD73" i="1"/>
  <c r="CB73" i="1"/>
  <c r="BZ73" i="1"/>
  <c r="BX73" i="1"/>
  <c r="BT73" i="1"/>
  <c r="BP73" i="1"/>
  <c r="BN73" i="1"/>
  <c r="BL73" i="1"/>
  <c r="BJ73" i="1"/>
  <c r="BH73" i="1"/>
  <c r="BF73" i="1"/>
  <c r="BD73" i="1"/>
  <c r="BB73" i="1"/>
  <c r="AZ73" i="1"/>
  <c r="AX73" i="1"/>
  <c r="AP73" i="1"/>
  <c r="AN73" i="1"/>
  <c r="AL73" i="1"/>
  <c r="AJ73" i="1"/>
  <c r="AH73" i="1"/>
  <c r="AF73" i="1"/>
  <c r="AB73" i="1"/>
  <c r="Z73" i="1"/>
  <c r="X73" i="1"/>
  <c r="V73" i="1"/>
  <c r="T73" i="1"/>
  <c r="R73" i="1"/>
  <c r="CW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P72" i="1"/>
  <c r="AN72" i="1"/>
  <c r="AL72" i="1"/>
  <c r="AJ72" i="1"/>
  <c r="AH72" i="1"/>
  <c r="AF72" i="1"/>
  <c r="AB72" i="1"/>
  <c r="Z72" i="1"/>
  <c r="X72" i="1"/>
  <c r="V72" i="1"/>
  <c r="T72" i="1"/>
  <c r="R72" i="1"/>
  <c r="CW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P71" i="1"/>
  <c r="AN71" i="1"/>
  <c r="AL71" i="1"/>
  <c r="AJ71" i="1"/>
  <c r="AH71" i="1"/>
  <c r="AF71" i="1"/>
  <c r="AB71" i="1"/>
  <c r="Z71" i="1"/>
  <c r="X71" i="1"/>
  <c r="V71" i="1"/>
  <c r="T71" i="1"/>
  <c r="R71" i="1"/>
  <c r="CW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P70" i="1"/>
  <c r="AN70" i="1"/>
  <c r="AL70" i="1"/>
  <c r="AJ70" i="1"/>
  <c r="AH70" i="1"/>
  <c r="AF70" i="1"/>
  <c r="AB70" i="1"/>
  <c r="Z70" i="1"/>
  <c r="X70" i="1"/>
  <c r="V70" i="1"/>
  <c r="T70" i="1"/>
  <c r="R70" i="1"/>
  <c r="CW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P69" i="1"/>
  <c r="AN69" i="1"/>
  <c r="AL69" i="1"/>
  <c r="AJ69" i="1"/>
  <c r="AH69" i="1"/>
  <c r="AF69" i="1"/>
  <c r="AB69" i="1"/>
  <c r="Z69" i="1"/>
  <c r="X69" i="1"/>
  <c r="V69" i="1"/>
  <c r="T69" i="1"/>
  <c r="R69" i="1"/>
  <c r="CW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P68" i="1"/>
  <c r="AN68" i="1"/>
  <c r="AL68" i="1"/>
  <c r="AJ68" i="1"/>
  <c r="AH68" i="1"/>
  <c r="AF68" i="1"/>
  <c r="AB68" i="1"/>
  <c r="Z68" i="1"/>
  <c r="X68" i="1"/>
  <c r="V68" i="1"/>
  <c r="T68" i="1"/>
  <c r="R68" i="1"/>
  <c r="CW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P67" i="1"/>
  <c r="AN67" i="1"/>
  <c r="AL67" i="1"/>
  <c r="AJ67" i="1"/>
  <c r="AH67" i="1"/>
  <c r="AF67" i="1"/>
  <c r="AB67" i="1"/>
  <c r="Z67" i="1"/>
  <c r="X67" i="1"/>
  <c r="V67" i="1"/>
  <c r="T67" i="1"/>
  <c r="R67" i="1"/>
  <c r="CW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L66" i="1"/>
  <c r="BJ66" i="1"/>
  <c r="BH66" i="1"/>
  <c r="BF66" i="1"/>
  <c r="BD66" i="1"/>
  <c r="BB66" i="1"/>
  <c r="AZ66" i="1"/>
  <c r="AX66" i="1"/>
  <c r="AT66" i="1"/>
  <c r="AP66" i="1"/>
  <c r="AN66" i="1"/>
  <c r="AL66" i="1"/>
  <c r="AJ66" i="1"/>
  <c r="AH66" i="1"/>
  <c r="AF66" i="1"/>
  <c r="AB66" i="1"/>
  <c r="Z66" i="1"/>
  <c r="X66" i="1"/>
  <c r="V66" i="1"/>
  <c r="T66" i="1"/>
  <c r="R66" i="1"/>
  <c r="CW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L65" i="1"/>
  <c r="BJ65" i="1"/>
  <c r="BH65" i="1"/>
  <c r="BF65" i="1"/>
  <c r="BD65" i="1"/>
  <c r="BB65" i="1"/>
  <c r="AZ65" i="1"/>
  <c r="AX65" i="1"/>
  <c r="AT65" i="1"/>
  <c r="AP65" i="1"/>
  <c r="AN65" i="1"/>
  <c r="AL65" i="1"/>
  <c r="AJ65" i="1"/>
  <c r="AH65" i="1"/>
  <c r="AF65" i="1"/>
  <c r="AB65" i="1"/>
  <c r="Z65" i="1"/>
  <c r="X65" i="1"/>
  <c r="V65" i="1"/>
  <c r="T65" i="1"/>
  <c r="R65" i="1"/>
  <c r="CW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P64" i="1"/>
  <c r="AN64" i="1"/>
  <c r="AL64" i="1"/>
  <c r="AJ64" i="1"/>
  <c r="AH64" i="1"/>
  <c r="AF64" i="1"/>
  <c r="AB64" i="1"/>
  <c r="Z64" i="1"/>
  <c r="X64" i="1"/>
  <c r="V64" i="1"/>
  <c r="T64" i="1"/>
  <c r="R64" i="1"/>
  <c r="CW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P63" i="1"/>
  <c r="AN63" i="1"/>
  <c r="AL63" i="1"/>
  <c r="AJ63" i="1"/>
  <c r="AH63" i="1"/>
  <c r="AF63" i="1"/>
  <c r="AB63" i="1"/>
  <c r="Z63" i="1"/>
  <c r="X63" i="1"/>
  <c r="V63" i="1"/>
  <c r="T63" i="1"/>
  <c r="R63" i="1"/>
  <c r="CV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O62" i="1"/>
  <c r="AM62" i="1"/>
  <c r="AK62" i="1"/>
  <c r="AI62" i="1"/>
  <c r="AG62" i="1"/>
  <c r="AE62" i="1"/>
  <c r="AD62" i="1"/>
  <c r="AC62" i="1"/>
  <c r="AA62" i="1"/>
  <c r="Y62" i="1"/>
  <c r="W62" i="1"/>
  <c r="U62" i="1"/>
  <c r="S62" i="1"/>
  <c r="Q62" i="1"/>
  <c r="CW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P61" i="1"/>
  <c r="AN61" i="1"/>
  <c r="AL61" i="1"/>
  <c r="AJ61" i="1"/>
  <c r="AH61" i="1"/>
  <c r="AF61" i="1"/>
  <c r="AB61" i="1"/>
  <c r="Z61" i="1"/>
  <c r="X61" i="1"/>
  <c r="V61" i="1"/>
  <c r="T61" i="1"/>
  <c r="R61" i="1"/>
  <c r="CW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P60" i="1"/>
  <c r="AN60" i="1"/>
  <c r="AL60" i="1"/>
  <c r="AJ60" i="1"/>
  <c r="AH60" i="1"/>
  <c r="AF60" i="1"/>
  <c r="AB60" i="1"/>
  <c r="Z60" i="1"/>
  <c r="X60" i="1"/>
  <c r="V60" i="1"/>
  <c r="T60" i="1"/>
  <c r="R60" i="1"/>
  <c r="CW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P59" i="1"/>
  <c r="AN59" i="1"/>
  <c r="AL59" i="1"/>
  <c r="AJ59" i="1"/>
  <c r="AH59" i="1"/>
  <c r="AF59" i="1"/>
  <c r="AB59" i="1"/>
  <c r="Z59" i="1"/>
  <c r="X59" i="1"/>
  <c r="V59" i="1"/>
  <c r="T59" i="1"/>
  <c r="R59" i="1"/>
  <c r="CV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O58" i="1"/>
  <c r="AM58" i="1"/>
  <c r="AK58" i="1"/>
  <c r="AI58" i="1"/>
  <c r="AG58" i="1"/>
  <c r="AE58" i="1"/>
  <c r="AD58" i="1"/>
  <c r="AC58" i="1"/>
  <c r="AA58" i="1"/>
  <c r="Y58" i="1"/>
  <c r="W58" i="1"/>
  <c r="U58" i="1"/>
  <c r="S58" i="1"/>
  <c r="Q58" i="1"/>
  <c r="CW57" i="1"/>
  <c r="CW56" i="1" s="1"/>
  <c r="CT57" i="1"/>
  <c r="CT56" i="1" s="1"/>
  <c r="CR57" i="1"/>
  <c r="CR56" i="1" s="1"/>
  <c r="CP57" i="1"/>
  <c r="CP56" i="1" s="1"/>
  <c r="CN57" i="1"/>
  <c r="CN56" i="1" s="1"/>
  <c r="CL57" i="1"/>
  <c r="CL56" i="1" s="1"/>
  <c r="CJ57" i="1"/>
  <c r="CJ56" i="1" s="1"/>
  <c r="CH57" i="1"/>
  <c r="CH56" i="1" s="1"/>
  <c r="CF57" i="1"/>
  <c r="CF56" i="1" s="1"/>
  <c r="CD57" i="1"/>
  <c r="CD56" i="1" s="1"/>
  <c r="CB57" i="1"/>
  <c r="CB56" i="1" s="1"/>
  <c r="BZ57" i="1"/>
  <c r="BZ56" i="1" s="1"/>
  <c r="BX57" i="1"/>
  <c r="BX56" i="1" s="1"/>
  <c r="BV57" i="1"/>
  <c r="BV56" i="1" s="1"/>
  <c r="BT57" i="1"/>
  <c r="BT56" i="1" s="1"/>
  <c r="BR57" i="1"/>
  <c r="BR56" i="1" s="1"/>
  <c r="BP57" i="1"/>
  <c r="BP56" i="1" s="1"/>
  <c r="BN57" i="1"/>
  <c r="BN56" i="1" s="1"/>
  <c r="BL57" i="1"/>
  <c r="BL56" i="1" s="1"/>
  <c r="BJ57" i="1"/>
  <c r="BJ56" i="1" s="1"/>
  <c r="BH57" i="1"/>
  <c r="BH56" i="1" s="1"/>
  <c r="BF57" i="1"/>
  <c r="BD57" i="1"/>
  <c r="BD56" i="1" s="1"/>
  <c r="BB57" i="1"/>
  <c r="BB56" i="1" s="1"/>
  <c r="AZ57" i="1"/>
  <c r="AX57" i="1"/>
  <c r="AX56" i="1" s="1"/>
  <c r="AV57" i="1"/>
  <c r="AV56" i="1" s="1"/>
  <c r="AT57" i="1"/>
  <c r="AT56" i="1" s="1"/>
  <c r="AP57" i="1"/>
  <c r="AP56" i="1" s="1"/>
  <c r="AN57" i="1"/>
  <c r="AN56" i="1" s="1"/>
  <c r="AL57" i="1"/>
  <c r="AL56" i="1" s="1"/>
  <c r="AJ57" i="1"/>
  <c r="AJ56" i="1" s="1"/>
  <c r="AH57" i="1"/>
  <c r="AH56" i="1" s="1"/>
  <c r="AF57" i="1"/>
  <c r="AF56" i="1" s="1"/>
  <c r="AB57" i="1"/>
  <c r="AB56" i="1" s="1"/>
  <c r="Z57" i="1"/>
  <c r="Z56" i="1" s="1"/>
  <c r="X57" i="1"/>
  <c r="X56" i="1" s="1"/>
  <c r="V57" i="1"/>
  <c r="V56" i="1" s="1"/>
  <c r="T57" i="1"/>
  <c r="T56" i="1" s="1"/>
  <c r="R57" i="1"/>
  <c r="R56" i="1" s="1"/>
  <c r="CV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F56" i="1"/>
  <c r="BE56" i="1"/>
  <c r="BC56" i="1"/>
  <c r="BA56" i="1"/>
  <c r="AZ56" i="1"/>
  <c r="AY56" i="1"/>
  <c r="AW56" i="1"/>
  <c r="AU56" i="1"/>
  <c r="AS56" i="1"/>
  <c r="AO56" i="1"/>
  <c r="AM56" i="1"/>
  <c r="AK56" i="1"/>
  <c r="AI56" i="1"/>
  <c r="AG56" i="1"/>
  <c r="AE56" i="1"/>
  <c r="AD56" i="1"/>
  <c r="AC56" i="1"/>
  <c r="AA56" i="1"/>
  <c r="Y56" i="1"/>
  <c r="W56" i="1"/>
  <c r="U56" i="1"/>
  <c r="S56" i="1"/>
  <c r="Q56" i="1"/>
  <c r="CW55" i="1"/>
  <c r="CT55" i="1"/>
  <c r="CN55" i="1"/>
  <c r="CB55" i="1"/>
  <c r="BT55" i="1"/>
  <c r="BP55" i="1"/>
  <c r="BL55" i="1"/>
  <c r="BH55" i="1"/>
  <c r="BF55" i="1"/>
  <c r="AZ55" i="1"/>
  <c r="AJ55" i="1"/>
  <c r="AF55" i="1"/>
  <c r="AB55" i="1"/>
  <c r="V55" i="1"/>
  <c r="R55" i="1"/>
  <c r="CW54" i="1"/>
  <c r="CT54" i="1"/>
  <c r="CN54" i="1"/>
  <c r="CB54" i="1"/>
  <c r="BT54" i="1"/>
  <c r="BP54" i="1"/>
  <c r="BL54" i="1"/>
  <c r="BH54" i="1"/>
  <c r="BF54" i="1"/>
  <c r="AZ54" i="1"/>
  <c r="AJ54" i="1"/>
  <c r="AF54" i="1"/>
  <c r="AB54" i="1"/>
  <c r="V54" i="1"/>
  <c r="R54" i="1"/>
  <c r="CW53" i="1"/>
  <c r="CT53" i="1"/>
  <c r="CR53" i="1"/>
  <c r="CP53" i="1"/>
  <c r="CP51" i="1" s="1"/>
  <c r="CN53" i="1"/>
  <c r="CH53" i="1"/>
  <c r="CF53" i="1"/>
  <c r="CD53" i="1"/>
  <c r="CB53" i="1"/>
  <c r="BZ53" i="1"/>
  <c r="BX53" i="1"/>
  <c r="BT53" i="1"/>
  <c r="BP53" i="1"/>
  <c r="BN53" i="1"/>
  <c r="BL53" i="1"/>
  <c r="BJ53" i="1"/>
  <c r="BH53" i="1"/>
  <c r="BF53" i="1"/>
  <c r="BD53" i="1"/>
  <c r="BB53" i="1"/>
  <c r="AZ53" i="1"/>
  <c r="AX53" i="1"/>
  <c r="AP53" i="1"/>
  <c r="AN53" i="1"/>
  <c r="AL53" i="1"/>
  <c r="AJ53" i="1"/>
  <c r="AH53" i="1"/>
  <c r="AF53" i="1"/>
  <c r="AB53" i="1"/>
  <c r="Z53" i="1"/>
  <c r="X53" i="1"/>
  <c r="V53" i="1"/>
  <c r="T53" i="1"/>
  <c r="R53" i="1"/>
  <c r="CT52" i="1"/>
  <c r="CR52" i="1"/>
  <c r="CN52" i="1"/>
  <c r="CH52" i="1"/>
  <c r="CF52" i="1"/>
  <c r="CD52" i="1"/>
  <c r="CB52" i="1"/>
  <c r="BZ52" i="1"/>
  <c r="BX52" i="1"/>
  <c r="BT52" i="1"/>
  <c r="BP52" i="1"/>
  <c r="BN52" i="1"/>
  <c r="BL52" i="1"/>
  <c r="BJ52" i="1"/>
  <c r="BH52" i="1"/>
  <c r="BF52" i="1"/>
  <c r="BD52" i="1"/>
  <c r="BB52" i="1"/>
  <c r="AZ52" i="1"/>
  <c r="AX52" i="1"/>
  <c r="AP52" i="1"/>
  <c r="AN52" i="1"/>
  <c r="AL52" i="1"/>
  <c r="AJ52" i="1"/>
  <c r="AG52" i="1"/>
  <c r="AG51" i="1" s="1"/>
  <c r="AF52" i="1"/>
  <c r="AB52" i="1"/>
  <c r="Z52" i="1"/>
  <c r="X52" i="1"/>
  <c r="V52" i="1"/>
  <c r="T52" i="1"/>
  <c r="R52" i="1"/>
  <c r="CV51" i="1"/>
  <c r="CU51" i="1"/>
  <c r="CS51" i="1"/>
  <c r="CQ51" i="1"/>
  <c r="CO51" i="1"/>
  <c r="CM51" i="1"/>
  <c r="CL51" i="1"/>
  <c r="CK51" i="1"/>
  <c r="CJ51" i="1"/>
  <c r="CI51" i="1"/>
  <c r="CG51" i="1"/>
  <c r="CE51" i="1"/>
  <c r="CC51" i="1"/>
  <c r="CA51" i="1"/>
  <c r="BY51" i="1"/>
  <c r="BW51" i="1"/>
  <c r="BV51" i="1"/>
  <c r="BU51" i="1"/>
  <c r="BS51" i="1"/>
  <c r="BR51" i="1"/>
  <c r="BQ51" i="1"/>
  <c r="BO51" i="1"/>
  <c r="BM51" i="1"/>
  <c r="BK51" i="1"/>
  <c r="BI51" i="1"/>
  <c r="BG51" i="1"/>
  <c r="BE51" i="1"/>
  <c r="BC51" i="1"/>
  <c r="BA51" i="1"/>
  <c r="AY51" i="1"/>
  <c r="AW51" i="1"/>
  <c r="AV51" i="1"/>
  <c r="AU51" i="1"/>
  <c r="AT51" i="1"/>
  <c r="AS51" i="1"/>
  <c r="AO51" i="1"/>
  <c r="AM51" i="1"/>
  <c r="AK51" i="1"/>
  <c r="AI51" i="1"/>
  <c r="AE51" i="1"/>
  <c r="AD51" i="1"/>
  <c r="AC51" i="1"/>
  <c r="AA51" i="1"/>
  <c r="Y51" i="1"/>
  <c r="W51" i="1"/>
  <c r="U51" i="1"/>
  <c r="S51" i="1"/>
  <c r="Q51" i="1"/>
  <c r="CW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P50" i="1"/>
  <c r="AN50" i="1"/>
  <c r="AL50" i="1"/>
  <c r="AJ50" i="1"/>
  <c r="AH50" i="1"/>
  <c r="AF50" i="1"/>
  <c r="AB50" i="1"/>
  <c r="Z50" i="1"/>
  <c r="X50" i="1"/>
  <c r="V50" i="1"/>
  <c r="T50" i="1"/>
  <c r="R50" i="1"/>
  <c r="CW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P49" i="1"/>
  <c r="AN49" i="1"/>
  <c r="AL49" i="1"/>
  <c r="AJ49" i="1"/>
  <c r="AH49" i="1"/>
  <c r="AF49" i="1"/>
  <c r="AB49" i="1"/>
  <c r="Z49" i="1"/>
  <c r="X49" i="1"/>
  <c r="V49" i="1"/>
  <c r="T49" i="1"/>
  <c r="R49" i="1"/>
  <c r="CW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P48" i="1"/>
  <c r="AN48" i="1"/>
  <c r="AL48" i="1"/>
  <c r="AJ48" i="1"/>
  <c r="AH48" i="1"/>
  <c r="AF48" i="1"/>
  <c r="AB48" i="1"/>
  <c r="Z48" i="1"/>
  <c r="X48" i="1"/>
  <c r="V48" i="1"/>
  <c r="T48" i="1"/>
  <c r="R48" i="1"/>
  <c r="CW47" i="1"/>
  <c r="CT47" i="1"/>
  <c r="CR47" i="1"/>
  <c r="CP47" i="1"/>
  <c r="CN47" i="1"/>
  <c r="CL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B47" i="1"/>
  <c r="AZ47" i="1"/>
  <c r="AX47" i="1"/>
  <c r="AP47" i="1"/>
  <c r="AN47" i="1"/>
  <c r="AL47" i="1"/>
  <c r="AJ47" i="1"/>
  <c r="AH47" i="1"/>
  <c r="AF47" i="1"/>
  <c r="AB47" i="1"/>
  <c r="Z47" i="1"/>
  <c r="X47" i="1"/>
  <c r="V47" i="1"/>
  <c r="T47" i="1"/>
  <c r="R47" i="1"/>
  <c r="CW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P46" i="1"/>
  <c r="AN46" i="1"/>
  <c r="AL46" i="1"/>
  <c r="AJ46" i="1"/>
  <c r="AH46" i="1"/>
  <c r="AF46" i="1"/>
  <c r="AB46" i="1"/>
  <c r="Z46" i="1"/>
  <c r="X46" i="1"/>
  <c r="V46" i="1"/>
  <c r="T46" i="1"/>
  <c r="R46" i="1"/>
  <c r="CW45" i="1"/>
  <c r="CT45" i="1"/>
  <c r="CR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P45" i="1"/>
  <c r="AN45" i="1"/>
  <c r="AL45" i="1"/>
  <c r="AJ45" i="1"/>
  <c r="AH45" i="1"/>
  <c r="AF45" i="1"/>
  <c r="AB45" i="1"/>
  <c r="Z45" i="1"/>
  <c r="X45" i="1"/>
  <c r="V45" i="1"/>
  <c r="T45" i="1"/>
  <c r="R45" i="1"/>
  <c r="CV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O44" i="1"/>
  <c r="AM44" i="1"/>
  <c r="AK44" i="1"/>
  <c r="AI44" i="1"/>
  <c r="AG44" i="1"/>
  <c r="AE44" i="1"/>
  <c r="AD44" i="1"/>
  <c r="AC44" i="1"/>
  <c r="AA44" i="1"/>
  <c r="Y44" i="1"/>
  <c r="W44" i="1"/>
  <c r="U44" i="1"/>
  <c r="S44" i="1"/>
  <c r="Q44" i="1"/>
  <c r="CT43" i="1"/>
  <c r="CR43" i="1"/>
  <c r="CP43" i="1"/>
  <c r="CP37" i="1" s="1"/>
  <c r="CN43" i="1"/>
  <c r="CL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B43" i="1"/>
  <c r="AZ43" i="1"/>
  <c r="AX43" i="1"/>
  <c r="AP43" i="1"/>
  <c r="AN43" i="1"/>
  <c r="AL43" i="1"/>
  <c r="AJ43" i="1"/>
  <c r="AG43" i="1"/>
  <c r="CW43" i="1" s="1"/>
  <c r="AF43" i="1"/>
  <c r="AB43" i="1"/>
  <c r="Z43" i="1"/>
  <c r="X43" i="1"/>
  <c r="V43" i="1"/>
  <c r="T43" i="1"/>
  <c r="R43" i="1"/>
  <c r="CT42" i="1"/>
  <c r="CR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P42" i="1"/>
  <c r="AN42" i="1"/>
  <c r="AK42" i="1"/>
  <c r="AJ42" i="1"/>
  <c r="AH42" i="1"/>
  <c r="AF42" i="1"/>
  <c r="AB42" i="1"/>
  <c r="Z42" i="1"/>
  <c r="X42" i="1"/>
  <c r="V42" i="1"/>
  <c r="T42" i="1"/>
  <c r="R42" i="1"/>
  <c r="CT41" i="1"/>
  <c r="CR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P41" i="1"/>
  <c r="AN41" i="1"/>
  <c r="AK41" i="1"/>
  <c r="AL41" i="1" s="1"/>
  <c r="AJ41" i="1"/>
  <c r="AG41" i="1"/>
  <c r="AH41" i="1" s="1"/>
  <c r="AF41" i="1"/>
  <c r="AB41" i="1"/>
  <c r="Z41" i="1"/>
  <c r="X41" i="1"/>
  <c r="V41" i="1"/>
  <c r="T41" i="1"/>
  <c r="R41" i="1"/>
  <c r="CT40" i="1"/>
  <c r="CR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P40" i="1"/>
  <c r="AN40" i="1"/>
  <c r="AL40" i="1"/>
  <c r="AJ40" i="1"/>
  <c r="AH40" i="1"/>
  <c r="AF40" i="1"/>
  <c r="AB40" i="1"/>
  <c r="Z40" i="1"/>
  <c r="X40" i="1"/>
  <c r="U40" i="1"/>
  <c r="CW40" i="1" s="1"/>
  <c r="T40" i="1"/>
  <c r="R40" i="1"/>
  <c r="CT39" i="1"/>
  <c r="CR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P39" i="1"/>
  <c r="AN39" i="1"/>
  <c r="AK39" i="1"/>
  <c r="AL39" i="1" s="1"/>
  <c r="AJ39" i="1"/>
  <c r="AH39" i="1"/>
  <c r="AF39" i="1"/>
  <c r="AB39" i="1"/>
  <c r="Z39" i="1"/>
  <c r="X39" i="1"/>
  <c r="V39" i="1"/>
  <c r="T39" i="1"/>
  <c r="R39" i="1"/>
  <c r="CT38" i="1"/>
  <c r="CR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P38" i="1"/>
  <c r="AN38" i="1"/>
  <c r="AL38" i="1"/>
  <c r="AJ38" i="1"/>
  <c r="AH38" i="1"/>
  <c r="AF38" i="1"/>
  <c r="AB38" i="1"/>
  <c r="Y38" i="1"/>
  <c r="Y37" i="1" s="1"/>
  <c r="X38" i="1"/>
  <c r="V38" i="1"/>
  <c r="T38" i="1"/>
  <c r="R38" i="1"/>
  <c r="CV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O37" i="1"/>
  <c r="AM37" i="1"/>
  <c r="AI37" i="1"/>
  <c r="AE37" i="1"/>
  <c r="AD37" i="1"/>
  <c r="AC37" i="1"/>
  <c r="AA37" i="1"/>
  <c r="W37" i="1"/>
  <c r="S37" i="1"/>
  <c r="Q37" i="1"/>
  <c r="CT36" i="1"/>
  <c r="CR36" i="1"/>
  <c r="CP36" i="1"/>
  <c r="CN36" i="1"/>
  <c r="CL36" i="1"/>
  <c r="CJ36" i="1"/>
  <c r="CJ34" i="1" s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D34" i="1" s="1"/>
  <c r="BB36" i="1"/>
  <c r="BB34" i="1" s="1"/>
  <c r="AZ36" i="1"/>
  <c r="AX36" i="1"/>
  <c r="AP36" i="1"/>
  <c r="AN36" i="1"/>
  <c r="AN34" i="1" s="1"/>
  <c r="AL36" i="1"/>
  <c r="AJ36" i="1"/>
  <c r="AH36" i="1"/>
  <c r="AF36" i="1"/>
  <c r="AB36" i="1"/>
  <c r="Z36" i="1"/>
  <c r="X36" i="1"/>
  <c r="U36" i="1"/>
  <c r="V36" i="1" s="1"/>
  <c r="T36" i="1"/>
  <c r="R36" i="1"/>
  <c r="CT35" i="1"/>
  <c r="CR35" i="1"/>
  <c r="CR34" i="1" s="1"/>
  <c r="CP35" i="1"/>
  <c r="CN35" i="1"/>
  <c r="CN34" i="1" s="1"/>
  <c r="CL35" i="1"/>
  <c r="CH35" i="1"/>
  <c r="CH34" i="1" s="1"/>
  <c r="CF35" i="1"/>
  <c r="CD35" i="1"/>
  <c r="CD34" i="1" s="1"/>
  <c r="CB35" i="1"/>
  <c r="CB34" i="1" s="1"/>
  <c r="BZ35" i="1"/>
  <c r="BZ34" i="1" s="1"/>
  <c r="BX35" i="1"/>
  <c r="BV35" i="1"/>
  <c r="BT35" i="1"/>
  <c r="BT34" i="1" s="1"/>
  <c r="BR35" i="1"/>
  <c r="BR34" i="1" s="1"/>
  <c r="BP35" i="1"/>
  <c r="BP34" i="1" s="1"/>
  <c r="BN35" i="1"/>
  <c r="BN34" i="1" s="1"/>
  <c r="BL35" i="1"/>
  <c r="BJ35" i="1"/>
  <c r="BJ34" i="1" s="1"/>
  <c r="BH35" i="1"/>
  <c r="BH34" i="1" s="1"/>
  <c r="BF35" i="1"/>
  <c r="BF34" i="1" s="1"/>
  <c r="BB35" i="1"/>
  <c r="AZ35" i="1"/>
  <c r="AX35" i="1"/>
  <c r="AX34" i="1" s="1"/>
  <c r="AP35" i="1"/>
  <c r="AN35" i="1"/>
  <c r="AL35" i="1"/>
  <c r="AJ35" i="1"/>
  <c r="AH35" i="1"/>
  <c r="AF35" i="1"/>
  <c r="AB35" i="1"/>
  <c r="Y35" i="1"/>
  <c r="Y34" i="1" s="1"/>
  <c r="X35" i="1"/>
  <c r="V35" i="1"/>
  <c r="T35" i="1"/>
  <c r="R35" i="1"/>
  <c r="R34" i="1" s="1"/>
  <c r="CV34" i="1"/>
  <c r="CU34" i="1"/>
  <c r="CS34" i="1"/>
  <c r="CQ34" i="1"/>
  <c r="CO34" i="1"/>
  <c r="CM34" i="1"/>
  <c r="CK34" i="1"/>
  <c r="CI34" i="1"/>
  <c r="CG34" i="1"/>
  <c r="CF34" i="1"/>
  <c r="CE34" i="1"/>
  <c r="CC34" i="1"/>
  <c r="CA34" i="1"/>
  <c r="BY34" i="1"/>
  <c r="BW34" i="1"/>
  <c r="BV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V34" i="1"/>
  <c r="AU34" i="1"/>
  <c r="AT34" i="1"/>
  <c r="AS34" i="1"/>
  <c r="AP34" i="1"/>
  <c r="AO34" i="1"/>
  <c r="AM34" i="1"/>
  <c r="AK34" i="1"/>
  <c r="AI34" i="1"/>
  <c r="AG34" i="1"/>
  <c r="AE34" i="1"/>
  <c r="AD34" i="1"/>
  <c r="AC34" i="1"/>
  <c r="AA34" i="1"/>
  <c r="W34" i="1"/>
  <c r="S34" i="1"/>
  <c r="Q34" i="1"/>
  <c r="CW33" i="1"/>
  <c r="CT33" i="1"/>
  <c r="CR33" i="1"/>
  <c r="CP33" i="1"/>
  <c r="CN33" i="1"/>
  <c r="CH33" i="1"/>
  <c r="CF33" i="1"/>
  <c r="CD33" i="1"/>
  <c r="CB33" i="1"/>
  <c r="BZ33" i="1"/>
  <c r="BX33" i="1"/>
  <c r="BT33" i="1"/>
  <c r="BP33" i="1"/>
  <c r="BN33" i="1"/>
  <c r="BL33" i="1"/>
  <c r="BJ33" i="1"/>
  <c r="BH33" i="1"/>
  <c r="BF33" i="1"/>
  <c r="BD33" i="1"/>
  <c r="BB33" i="1"/>
  <c r="AZ33" i="1"/>
  <c r="AX33" i="1"/>
  <c r="AP33" i="1"/>
  <c r="AN33" i="1"/>
  <c r="AL33" i="1"/>
  <c r="AJ33" i="1"/>
  <c r="AH33" i="1"/>
  <c r="AF33" i="1"/>
  <c r="AB33" i="1"/>
  <c r="Z33" i="1"/>
  <c r="X33" i="1"/>
  <c r="V33" i="1"/>
  <c r="T33" i="1"/>
  <c r="R33" i="1"/>
  <c r="CW32" i="1"/>
  <c r="CT32" i="1"/>
  <c r="CN32" i="1"/>
  <c r="CB32" i="1"/>
  <c r="BT32" i="1"/>
  <c r="BP32" i="1"/>
  <c r="BL32" i="1"/>
  <c r="BH32" i="1"/>
  <c r="BF32" i="1"/>
  <c r="AZ32" i="1"/>
  <c r="AJ32" i="1"/>
  <c r="AF32" i="1"/>
  <c r="AB32" i="1"/>
  <c r="Z32" i="1"/>
  <c r="V32" i="1"/>
  <c r="R32" i="1"/>
  <c r="CW31" i="1"/>
  <c r="CT31" i="1"/>
  <c r="CN31" i="1"/>
  <c r="CB31" i="1"/>
  <c r="BT31" i="1"/>
  <c r="BP31" i="1"/>
  <c r="BL31" i="1"/>
  <c r="BH31" i="1"/>
  <c r="BF31" i="1"/>
  <c r="AZ31" i="1"/>
  <c r="AP31" i="1"/>
  <c r="AN31" i="1"/>
  <c r="AJ31" i="1"/>
  <c r="AF31" i="1"/>
  <c r="AB31" i="1"/>
  <c r="Z31" i="1"/>
  <c r="V31" i="1"/>
  <c r="R31" i="1"/>
  <c r="CW30" i="1"/>
  <c r="CT30" i="1"/>
  <c r="CR30" i="1"/>
  <c r="CP30" i="1"/>
  <c r="CN30" i="1"/>
  <c r="CH30" i="1"/>
  <c r="CF30" i="1"/>
  <c r="CD30" i="1"/>
  <c r="CB30" i="1"/>
  <c r="BZ30" i="1"/>
  <c r="BX30" i="1"/>
  <c r="BT30" i="1"/>
  <c r="BP30" i="1"/>
  <c r="BN30" i="1"/>
  <c r="BL30" i="1"/>
  <c r="BJ30" i="1"/>
  <c r="BH30" i="1"/>
  <c r="BF30" i="1"/>
  <c r="BD30" i="1"/>
  <c r="BB30" i="1"/>
  <c r="AZ30" i="1"/>
  <c r="AX30" i="1"/>
  <c r="AP30" i="1"/>
  <c r="AN30" i="1"/>
  <c r="AL30" i="1"/>
  <c r="AJ30" i="1"/>
  <c r="AH30" i="1"/>
  <c r="AF30" i="1"/>
  <c r="AB30" i="1"/>
  <c r="Z30" i="1"/>
  <c r="X30" i="1"/>
  <c r="V30" i="1"/>
  <c r="T30" i="1"/>
  <c r="R30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P29" i="1"/>
  <c r="AN29" i="1"/>
  <c r="AL29" i="1"/>
  <c r="AJ29" i="1"/>
  <c r="AG29" i="1"/>
  <c r="AH29" i="1" s="1"/>
  <c r="AF29" i="1"/>
  <c r="AB29" i="1"/>
  <c r="Y29" i="1"/>
  <c r="Z29" i="1" s="1"/>
  <c r="X29" i="1"/>
  <c r="V29" i="1"/>
  <c r="T29" i="1"/>
  <c r="R29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P28" i="1"/>
  <c r="AN28" i="1"/>
  <c r="AL28" i="1"/>
  <c r="AJ28" i="1"/>
  <c r="AG28" i="1"/>
  <c r="CW28" i="1" s="1"/>
  <c r="AF28" i="1"/>
  <c r="AB28" i="1"/>
  <c r="Z28" i="1"/>
  <c r="X28" i="1"/>
  <c r="V28" i="1"/>
  <c r="T28" i="1"/>
  <c r="R28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P27" i="1"/>
  <c r="AN27" i="1"/>
  <c r="AL27" i="1"/>
  <c r="AJ27" i="1"/>
  <c r="AG27" i="1"/>
  <c r="AH27" i="1" s="1"/>
  <c r="AE27" i="1"/>
  <c r="AF27" i="1" s="1"/>
  <c r="AB27" i="1"/>
  <c r="Y27" i="1"/>
  <c r="Z27" i="1" s="1"/>
  <c r="X27" i="1"/>
  <c r="V27" i="1"/>
  <c r="T27" i="1"/>
  <c r="R27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P26" i="1"/>
  <c r="AN26" i="1"/>
  <c r="AL26" i="1"/>
  <c r="AJ26" i="1"/>
  <c r="AG26" i="1"/>
  <c r="AH26" i="1" s="1"/>
  <c r="AF26" i="1"/>
  <c r="AB26" i="1"/>
  <c r="Y26" i="1"/>
  <c r="X26" i="1"/>
  <c r="V26" i="1"/>
  <c r="T26" i="1"/>
  <c r="R26" i="1"/>
  <c r="CW25" i="1"/>
  <c r="CT25" i="1"/>
  <c r="CR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P25" i="1"/>
  <c r="AN25" i="1"/>
  <c r="AL25" i="1"/>
  <c r="AJ25" i="1"/>
  <c r="AH25" i="1"/>
  <c r="AF25" i="1"/>
  <c r="AB25" i="1"/>
  <c r="Z25" i="1"/>
  <c r="X25" i="1"/>
  <c r="V25" i="1"/>
  <c r="T25" i="1"/>
  <c r="R25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P24" i="1"/>
  <c r="AM24" i="1"/>
  <c r="AN24" i="1" s="1"/>
  <c r="AL24" i="1"/>
  <c r="AJ24" i="1"/>
  <c r="AH24" i="1"/>
  <c r="AF24" i="1"/>
  <c r="AB24" i="1"/>
  <c r="Y24" i="1"/>
  <c r="Z24" i="1" s="1"/>
  <c r="X24" i="1"/>
  <c r="V24" i="1"/>
  <c r="T24" i="1"/>
  <c r="R24" i="1"/>
  <c r="CT23" i="1"/>
  <c r="CR23" i="1"/>
  <c r="CN23" i="1"/>
  <c r="CL23" i="1"/>
  <c r="CJ23" i="1"/>
  <c r="CH23" i="1"/>
  <c r="CE23" i="1"/>
  <c r="CE16" i="1" s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P23" i="1"/>
  <c r="AN23" i="1"/>
  <c r="AL23" i="1"/>
  <c r="AJ23" i="1"/>
  <c r="AG23" i="1"/>
  <c r="AH23" i="1" s="1"/>
  <c r="AE23" i="1"/>
  <c r="AF23" i="1" s="1"/>
  <c r="AB23" i="1"/>
  <c r="Z23" i="1"/>
  <c r="X23" i="1"/>
  <c r="V23" i="1"/>
  <c r="T23" i="1"/>
  <c r="R23" i="1"/>
  <c r="CW22" i="1"/>
  <c r="CT22" i="1"/>
  <c r="CR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P22" i="1"/>
  <c r="AN22" i="1"/>
  <c r="AL22" i="1"/>
  <c r="AJ22" i="1"/>
  <c r="AH22" i="1"/>
  <c r="AF22" i="1"/>
  <c r="AB22" i="1"/>
  <c r="Z22" i="1"/>
  <c r="X22" i="1"/>
  <c r="V22" i="1"/>
  <c r="T22" i="1"/>
  <c r="R22" i="1"/>
  <c r="CW21" i="1"/>
  <c r="CT21" i="1"/>
  <c r="CR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P21" i="1"/>
  <c r="AN21" i="1"/>
  <c r="AL21" i="1"/>
  <c r="AJ21" i="1"/>
  <c r="AH21" i="1"/>
  <c r="AF21" i="1"/>
  <c r="AB21" i="1"/>
  <c r="Z21" i="1"/>
  <c r="X21" i="1"/>
  <c r="V21" i="1"/>
  <c r="T21" i="1"/>
  <c r="R21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U20" i="1"/>
  <c r="AV20" i="1" s="1"/>
  <c r="AT20" i="1"/>
  <c r="AP20" i="1"/>
  <c r="AN20" i="1"/>
  <c r="AK20" i="1"/>
  <c r="AK16" i="1" s="1"/>
  <c r="AJ20" i="1"/>
  <c r="AH20" i="1"/>
  <c r="AF20" i="1"/>
  <c r="AB20" i="1"/>
  <c r="Z20" i="1"/>
  <c r="X20" i="1"/>
  <c r="V20" i="1"/>
  <c r="T20" i="1"/>
  <c r="R20" i="1"/>
  <c r="CW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P19" i="1"/>
  <c r="AN19" i="1"/>
  <c r="AL19" i="1"/>
  <c r="AJ19" i="1"/>
  <c r="AH19" i="1"/>
  <c r="AF19" i="1"/>
  <c r="AB19" i="1"/>
  <c r="Z19" i="1"/>
  <c r="X19" i="1"/>
  <c r="V19" i="1"/>
  <c r="T19" i="1"/>
  <c r="R19" i="1"/>
  <c r="CT18" i="1"/>
  <c r="CR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L18" i="1"/>
  <c r="BJ18" i="1"/>
  <c r="BH18" i="1"/>
  <c r="BF18" i="1"/>
  <c r="BD18" i="1"/>
  <c r="BB18" i="1"/>
  <c r="AY18" i="1"/>
  <c r="AZ18" i="1" s="1"/>
  <c r="AX18" i="1"/>
  <c r="AT18" i="1"/>
  <c r="AP18" i="1"/>
  <c r="AN18" i="1"/>
  <c r="AL18" i="1"/>
  <c r="AJ18" i="1"/>
  <c r="AH18" i="1"/>
  <c r="AE18" i="1"/>
  <c r="AF18" i="1" s="1"/>
  <c r="AB18" i="1"/>
  <c r="Z18" i="1"/>
  <c r="X18" i="1"/>
  <c r="V18" i="1"/>
  <c r="T18" i="1"/>
  <c r="R18" i="1"/>
  <c r="CT17" i="1"/>
  <c r="CR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O17" i="1"/>
  <c r="AP17" i="1" s="1"/>
  <c r="AN17" i="1"/>
  <c r="AL17" i="1"/>
  <c r="AJ17" i="1"/>
  <c r="AG17" i="1"/>
  <c r="AF17" i="1"/>
  <c r="AB17" i="1"/>
  <c r="Z17" i="1"/>
  <c r="X17" i="1"/>
  <c r="V17" i="1"/>
  <c r="T17" i="1"/>
  <c r="R17" i="1"/>
  <c r="CV16" i="1"/>
  <c r="CU16" i="1"/>
  <c r="CS16" i="1"/>
  <c r="CQ16" i="1"/>
  <c r="CO16" i="1"/>
  <c r="CM16" i="1"/>
  <c r="CK16" i="1"/>
  <c r="CI16" i="1"/>
  <c r="CG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W16" i="1"/>
  <c r="AS16" i="1"/>
  <c r="AI16" i="1"/>
  <c r="AD16" i="1"/>
  <c r="AC16" i="1"/>
  <c r="AA16" i="1"/>
  <c r="W16" i="1"/>
  <c r="U16" i="1"/>
  <c r="S16" i="1"/>
  <c r="Q16" i="1"/>
  <c r="CW15" i="1"/>
  <c r="CW14" i="1" s="1"/>
  <c r="CT15" i="1"/>
  <c r="CT14" i="1" s="1"/>
  <c r="CR15" i="1"/>
  <c r="CR14" i="1" s="1"/>
  <c r="CP15" i="1"/>
  <c r="CP14" i="1" s="1"/>
  <c r="CN15" i="1"/>
  <c r="CN14" i="1" s="1"/>
  <c r="CL15" i="1"/>
  <c r="CL14" i="1" s="1"/>
  <c r="CJ15" i="1"/>
  <c r="CJ14" i="1" s="1"/>
  <c r="CH15" i="1"/>
  <c r="CH14" i="1" s="1"/>
  <c r="CF15" i="1"/>
  <c r="CF14" i="1" s="1"/>
  <c r="CD15" i="1"/>
  <c r="CD14" i="1" s="1"/>
  <c r="CB15" i="1"/>
  <c r="CB14" i="1" s="1"/>
  <c r="BZ15" i="1"/>
  <c r="BZ14" i="1" s="1"/>
  <c r="BX15" i="1"/>
  <c r="BX14" i="1" s="1"/>
  <c r="BV15" i="1"/>
  <c r="BV14" i="1" s="1"/>
  <c r="BT15" i="1"/>
  <c r="BT14" i="1" s="1"/>
  <c r="BR15" i="1"/>
  <c r="BR14" i="1" s="1"/>
  <c r="BP15" i="1"/>
  <c r="BP14" i="1" s="1"/>
  <c r="BN15" i="1"/>
  <c r="BN14" i="1" s="1"/>
  <c r="BL15" i="1"/>
  <c r="BL14" i="1" s="1"/>
  <c r="BJ15" i="1"/>
  <c r="BJ14" i="1" s="1"/>
  <c r="BH15" i="1"/>
  <c r="BH14" i="1" s="1"/>
  <c r="BF15" i="1"/>
  <c r="BF14" i="1" s="1"/>
  <c r="BD15" i="1"/>
  <c r="BD14" i="1" s="1"/>
  <c r="BB15" i="1"/>
  <c r="BB14" i="1" s="1"/>
  <c r="AZ15" i="1"/>
  <c r="AZ14" i="1" s="1"/>
  <c r="AX15" i="1"/>
  <c r="AX14" i="1" s="1"/>
  <c r="AP15" i="1"/>
  <c r="AP14" i="1" s="1"/>
  <c r="AN15" i="1"/>
  <c r="AN14" i="1" s="1"/>
  <c r="AL15" i="1"/>
  <c r="AL14" i="1" s="1"/>
  <c r="AJ15" i="1"/>
  <c r="AJ14" i="1" s="1"/>
  <c r="AH15" i="1"/>
  <c r="AH14" i="1" s="1"/>
  <c r="AF15" i="1"/>
  <c r="AF14" i="1" s="1"/>
  <c r="AB15" i="1"/>
  <c r="AB14" i="1" s="1"/>
  <c r="Z15" i="1"/>
  <c r="Z14" i="1" s="1"/>
  <c r="X15" i="1"/>
  <c r="X14" i="1" s="1"/>
  <c r="V15" i="1"/>
  <c r="V14" i="1" s="1"/>
  <c r="T15" i="1"/>
  <c r="T14" i="1" s="1"/>
  <c r="R15" i="1"/>
  <c r="CV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V14" i="1"/>
  <c r="AU14" i="1"/>
  <c r="AT14" i="1"/>
  <c r="AS14" i="1"/>
  <c r="AO14" i="1"/>
  <c r="AM14" i="1"/>
  <c r="AK14" i="1"/>
  <c r="AI14" i="1"/>
  <c r="AG14" i="1"/>
  <c r="AE14" i="1"/>
  <c r="AD14" i="1"/>
  <c r="AC14" i="1"/>
  <c r="AA14" i="1"/>
  <c r="Y14" i="1"/>
  <c r="W14" i="1"/>
  <c r="U14" i="1"/>
  <c r="S14" i="1"/>
  <c r="Q14" i="1"/>
  <c r="AW519" i="1" l="1"/>
  <c r="AL44" i="1"/>
  <c r="Z51" i="1"/>
  <c r="CP87" i="1"/>
  <c r="AE107" i="1"/>
  <c r="AX163" i="1"/>
  <c r="BV163" i="1"/>
  <c r="Z209" i="1"/>
  <c r="AL287" i="1"/>
  <c r="AZ287" i="1"/>
  <c r="BL287" i="1"/>
  <c r="BX287" i="1"/>
  <c r="CJ287" i="1"/>
  <c r="CV287" i="1"/>
  <c r="AB287" i="1"/>
  <c r="AN287" i="1"/>
  <c r="BB287" i="1"/>
  <c r="BN287" i="1"/>
  <c r="BZ287" i="1"/>
  <c r="CL287" i="1"/>
  <c r="AX287" i="1"/>
  <c r="CJ302" i="1"/>
  <c r="CV302" i="1"/>
  <c r="CT344" i="1"/>
  <c r="AY364" i="1"/>
  <c r="BH437" i="1"/>
  <c r="T34" i="1"/>
  <c r="R37" i="1"/>
  <c r="BD58" i="1"/>
  <c r="CP74" i="1"/>
  <c r="Z163" i="1"/>
  <c r="R422" i="1"/>
  <c r="AF422" i="1"/>
  <c r="CP431" i="1"/>
  <c r="AT447" i="1"/>
  <c r="CL34" i="1"/>
  <c r="CW243" i="1"/>
  <c r="CW246" i="1"/>
  <c r="CX254" i="1"/>
  <c r="CF276" i="1"/>
  <c r="CG519" i="1"/>
  <c r="AO16" i="1"/>
  <c r="AO519" i="1" s="1"/>
  <c r="CP142" i="1"/>
  <c r="T163" i="1"/>
  <c r="AH163" i="1"/>
  <c r="BN163" i="1"/>
  <c r="BZ163" i="1"/>
  <c r="CN163" i="1"/>
  <c r="AJ287" i="1"/>
  <c r="S350" i="1"/>
  <c r="CR381" i="1"/>
  <c r="CP381" i="1"/>
  <c r="AH408" i="1"/>
  <c r="X51" i="1"/>
  <c r="AL51" i="1"/>
  <c r="BD51" i="1"/>
  <c r="CF51" i="1"/>
  <c r="AV74" i="1"/>
  <c r="CW98" i="1"/>
  <c r="X163" i="1"/>
  <c r="AL163" i="1"/>
  <c r="BN37" i="1"/>
  <c r="AB62" i="1"/>
  <c r="Z195" i="1"/>
  <c r="BI519" i="1"/>
  <c r="AG37" i="1"/>
  <c r="AP58" i="1"/>
  <c r="BP58" i="1"/>
  <c r="CB58" i="1"/>
  <c r="CN58" i="1"/>
  <c r="CH122" i="1"/>
  <c r="AZ142" i="1"/>
  <c r="CN155" i="1"/>
  <c r="BB167" i="1"/>
  <c r="CL167" i="1"/>
  <c r="W519" i="1"/>
  <c r="BF74" i="1"/>
  <c r="AB87" i="1"/>
  <c r="CR87" i="1"/>
  <c r="Z142" i="1"/>
  <c r="AT142" i="1"/>
  <c r="Z200" i="1"/>
  <c r="CW229" i="1"/>
  <c r="AN229" i="1"/>
  <c r="CX257" i="1"/>
  <c r="AJ329" i="1"/>
  <c r="BB329" i="1"/>
  <c r="BN329" i="1"/>
  <c r="BZ329" i="1"/>
  <c r="CL329" i="1"/>
  <c r="CR329" i="1"/>
  <c r="BR447" i="1"/>
  <c r="BH297" i="1"/>
  <c r="CR297" i="1"/>
  <c r="AJ297" i="1"/>
  <c r="AX297" i="1"/>
  <c r="BV297" i="1"/>
  <c r="CV297" i="1"/>
  <c r="Z297" i="1"/>
  <c r="BN297" i="1"/>
  <c r="V314" i="1"/>
  <c r="AJ314" i="1"/>
  <c r="AX314" i="1"/>
  <c r="X344" i="1"/>
  <c r="AX350" i="1"/>
  <c r="BJ350" i="1"/>
  <c r="BV350" i="1"/>
  <c r="CH350" i="1"/>
  <c r="CV350" i="1"/>
  <c r="T394" i="1"/>
  <c r="CP329" i="1"/>
  <c r="CW377" i="1"/>
  <c r="AG381" i="1"/>
  <c r="AV381" i="1"/>
  <c r="CV381" i="1"/>
  <c r="CX250" i="1"/>
  <c r="BJ287" i="1"/>
  <c r="X297" i="1"/>
  <c r="AL297" i="1"/>
  <c r="AZ297" i="1"/>
  <c r="CN302" i="1"/>
  <c r="AV401" i="1"/>
  <c r="CJ447" i="1"/>
  <c r="AP314" i="1"/>
  <c r="CB314" i="1"/>
  <c r="R344" i="1"/>
  <c r="CJ344" i="1"/>
  <c r="AM364" i="1"/>
  <c r="AT364" i="1"/>
  <c r="AK381" i="1"/>
  <c r="AJ401" i="1"/>
  <c r="CV401" i="1"/>
  <c r="AB401" i="1"/>
  <c r="T431" i="1"/>
  <c r="T490" i="1"/>
  <c r="AH490" i="1"/>
  <c r="AV490" i="1"/>
  <c r="BH490" i="1"/>
  <c r="BT490" i="1"/>
  <c r="CF490" i="1"/>
  <c r="AZ490" i="1"/>
  <c r="BX490" i="1"/>
  <c r="CJ490" i="1"/>
  <c r="CH16" i="1"/>
  <c r="X16" i="1"/>
  <c r="CP16" i="1"/>
  <c r="BN51" i="1"/>
  <c r="CM519" i="1"/>
  <c r="T44" i="1"/>
  <c r="AH44" i="1"/>
  <c r="AV44" i="1"/>
  <c r="BT44" i="1"/>
  <c r="CF44" i="1"/>
  <c r="BB16" i="1"/>
  <c r="AC519" i="1"/>
  <c r="AP16" i="1"/>
  <c r="AF34" i="1"/>
  <c r="BX37" i="1"/>
  <c r="BX44" i="1"/>
  <c r="BP122" i="1"/>
  <c r="AN169" i="1"/>
  <c r="CW232" i="1"/>
  <c r="CX261" i="1"/>
  <c r="CX263" i="1"/>
  <c r="R287" i="1"/>
  <c r="AD287" i="1"/>
  <c r="AP287" i="1"/>
  <c r="BD287" i="1"/>
  <c r="BP287" i="1"/>
  <c r="CB287" i="1"/>
  <c r="CN287" i="1"/>
  <c r="X287" i="1"/>
  <c r="Z309" i="1"/>
  <c r="AN309" i="1"/>
  <c r="BB309" i="1"/>
  <c r="AB309" i="1"/>
  <c r="AP309" i="1"/>
  <c r="AE329" i="1"/>
  <c r="AH340" i="1"/>
  <c r="AJ344" i="1"/>
  <c r="BB344" i="1"/>
  <c r="BP344" i="1"/>
  <c r="CB344" i="1"/>
  <c r="X364" i="1"/>
  <c r="AL364" i="1"/>
  <c r="BL364" i="1"/>
  <c r="BX364" i="1"/>
  <c r="CL364" i="1"/>
  <c r="CJ364" i="1"/>
  <c r="S381" i="1"/>
  <c r="BD381" i="1"/>
  <c r="CW418" i="1"/>
  <c r="BT437" i="1"/>
  <c r="AN437" i="1"/>
  <c r="AK447" i="1"/>
  <c r="CL87" i="1"/>
  <c r="AT122" i="1"/>
  <c r="CP122" i="1"/>
  <c r="BL142" i="1"/>
  <c r="CV142" i="1"/>
  <c r="T152" i="1"/>
  <c r="CW152" i="1"/>
  <c r="BX155" i="1"/>
  <c r="BN155" i="1"/>
  <c r="CT163" i="1"/>
  <c r="X276" i="1"/>
  <c r="CV276" i="1"/>
  <c r="AN276" i="1"/>
  <c r="BB276" i="1"/>
  <c r="BZ276" i="1"/>
  <c r="CL276" i="1"/>
  <c r="CH287" i="1"/>
  <c r="BL297" i="1"/>
  <c r="CJ297" i="1"/>
  <c r="X329" i="1"/>
  <c r="AL329" i="1"/>
  <c r="BD329" i="1"/>
  <c r="BP329" i="1"/>
  <c r="CB329" i="1"/>
  <c r="CN329" i="1"/>
  <c r="AB329" i="1"/>
  <c r="R350" i="1"/>
  <c r="BF350" i="1"/>
  <c r="AH376" i="1"/>
  <c r="AH393" i="1"/>
  <c r="AZ399" i="1"/>
  <c r="CX399" i="1" s="1"/>
  <c r="V437" i="1"/>
  <c r="CB437" i="1"/>
  <c r="CR437" i="1"/>
  <c r="BF447" i="1"/>
  <c r="CD447" i="1"/>
  <c r="AJ51" i="1"/>
  <c r="CD51" i="1"/>
  <c r="AV117" i="1"/>
  <c r="CD142" i="1"/>
  <c r="AN297" i="1"/>
  <c r="V381" i="1"/>
  <c r="AJ381" i="1"/>
  <c r="BJ381" i="1"/>
  <c r="BV381" i="1"/>
  <c r="CH381" i="1"/>
  <c r="BT381" i="1"/>
  <c r="CP422" i="1"/>
  <c r="BX431" i="1"/>
  <c r="BB51" i="1"/>
  <c r="BS519" i="1"/>
  <c r="BP117" i="1"/>
  <c r="AE122" i="1"/>
  <c r="AJ122" i="1"/>
  <c r="AX122" i="1"/>
  <c r="CT122" i="1"/>
  <c r="BR142" i="1"/>
  <c r="X309" i="1"/>
  <c r="CW348" i="1"/>
  <c r="BF431" i="1"/>
  <c r="CD431" i="1"/>
  <c r="AF431" i="1"/>
  <c r="BF51" i="1"/>
  <c r="Q519" i="1"/>
  <c r="BU519" i="1"/>
  <c r="AN37" i="1"/>
  <c r="V62" i="1"/>
  <c r="AN62" i="1"/>
  <c r="BZ62" i="1"/>
  <c r="CL62" i="1"/>
  <c r="R74" i="1"/>
  <c r="AF74" i="1"/>
  <c r="AX74" i="1"/>
  <c r="R82" i="1"/>
  <c r="AK107" i="1"/>
  <c r="CW119" i="1"/>
  <c r="CV117" i="1"/>
  <c r="X122" i="1"/>
  <c r="R155" i="1"/>
  <c r="AF155" i="1"/>
  <c r="AT155" i="1"/>
  <c r="BF155" i="1"/>
  <c r="BR155" i="1"/>
  <c r="CD155" i="1"/>
  <c r="CP155" i="1"/>
  <c r="AX155" i="1"/>
  <c r="CH155" i="1"/>
  <c r="CW174" i="1"/>
  <c r="Z178" i="1"/>
  <c r="CW272" i="1"/>
  <c r="R276" i="1"/>
  <c r="AF276" i="1"/>
  <c r="AT276" i="1"/>
  <c r="BF276" i="1"/>
  <c r="BR276" i="1"/>
  <c r="CD276" i="1"/>
  <c r="CP276" i="1"/>
  <c r="AH276" i="1"/>
  <c r="AV276" i="1"/>
  <c r="BH276" i="1"/>
  <c r="BT276" i="1"/>
  <c r="CX296" i="1"/>
  <c r="AN302" i="1"/>
  <c r="CV309" i="1"/>
  <c r="BD314" i="1"/>
  <c r="T344" i="1"/>
  <c r="AG364" i="1"/>
  <c r="AJ364" i="1"/>
  <c r="AX364" i="1"/>
  <c r="BJ364" i="1"/>
  <c r="BV364" i="1"/>
  <c r="CH364" i="1"/>
  <c r="CX366" i="1"/>
  <c r="BF364" i="1"/>
  <c r="CT364" i="1"/>
  <c r="CP364" i="1"/>
  <c r="CW374" i="1"/>
  <c r="Z377" i="1"/>
  <c r="CJ381" i="1"/>
  <c r="Y381" i="1"/>
  <c r="Z388" i="1"/>
  <c r="AH403" i="1"/>
  <c r="T422" i="1"/>
  <c r="Z431" i="1"/>
  <c r="S437" i="1"/>
  <c r="BL447" i="1"/>
  <c r="BJ447" i="1"/>
  <c r="BV447" i="1"/>
  <c r="CH447" i="1"/>
  <c r="CP490" i="1"/>
  <c r="BP16" i="1"/>
  <c r="AJ16" i="1"/>
  <c r="AL20" i="1"/>
  <c r="CK519" i="1"/>
  <c r="AU16" i="1"/>
  <c r="CW17" i="1"/>
  <c r="BN16" i="1"/>
  <c r="AA519" i="1"/>
  <c r="BM519" i="1"/>
  <c r="CS519" i="1"/>
  <c r="CX45" i="1"/>
  <c r="CR44" i="1"/>
  <c r="X44" i="1"/>
  <c r="AZ44" i="1"/>
  <c r="BL44" i="1"/>
  <c r="CJ44" i="1"/>
  <c r="AB44" i="1"/>
  <c r="AP44" i="1"/>
  <c r="BH44" i="1"/>
  <c r="T51" i="1"/>
  <c r="BL51" i="1"/>
  <c r="CB51" i="1"/>
  <c r="CT51" i="1"/>
  <c r="AB51" i="1"/>
  <c r="AP51" i="1"/>
  <c r="BH51" i="1"/>
  <c r="BX51" i="1"/>
  <c r="CN51" i="1"/>
  <c r="T58" i="1"/>
  <c r="AH58" i="1"/>
  <c r="AV58" i="1"/>
  <c r="BH58" i="1"/>
  <c r="BT58" i="1"/>
  <c r="CF58" i="1"/>
  <c r="CR58" i="1"/>
  <c r="X58" i="1"/>
  <c r="AL58" i="1"/>
  <c r="AZ58" i="1"/>
  <c r="BL58" i="1"/>
  <c r="BX58" i="1"/>
  <c r="CJ58" i="1"/>
  <c r="CW58" i="1"/>
  <c r="AB58" i="1"/>
  <c r="CH74" i="1"/>
  <c r="BP82" i="1"/>
  <c r="AF37" i="1"/>
  <c r="AT37" i="1"/>
  <c r="BF37" i="1"/>
  <c r="BR37" i="1"/>
  <c r="CD37" i="1"/>
  <c r="CR37" i="1"/>
  <c r="BB37" i="1"/>
  <c r="CL37" i="1"/>
  <c r="CT44" i="1"/>
  <c r="Z44" i="1"/>
  <c r="AN44" i="1"/>
  <c r="BB44" i="1"/>
  <c r="BN44" i="1"/>
  <c r="BZ44" i="1"/>
  <c r="AJ34" i="1"/>
  <c r="CP34" i="1"/>
  <c r="X34" i="1"/>
  <c r="AZ37" i="1"/>
  <c r="BL37" i="1"/>
  <c r="CJ37" i="1"/>
  <c r="AB37" i="1"/>
  <c r="AP37" i="1"/>
  <c r="BP51" i="1"/>
  <c r="AZ74" i="1"/>
  <c r="BL74" i="1"/>
  <c r="BX74" i="1"/>
  <c r="CJ74" i="1"/>
  <c r="R16" i="1"/>
  <c r="CB16" i="1"/>
  <c r="BZ16" i="1"/>
  <c r="AX16" i="1"/>
  <c r="BV16" i="1"/>
  <c r="BR16" i="1"/>
  <c r="CD16" i="1"/>
  <c r="AN16" i="1"/>
  <c r="CW26" i="1"/>
  <c r="BD16" i="1"/>
  <c r="CN16" i="1"/>
  <c r="AZ16" i="1"/>
  <c r="CL16" i="1"/>
  <c r="CT16" i="1"/>
  <c r="BJ16" i="1"/>
  <c r="AB34" i="1"/>
  <c r="CT34" i="1"/>
  <c r="BZ37" i="1"/>
  <c r="AK37" i="1"/>
  <c r="BN62" i="1"/>
  <c r="CL44" i="1"/>
  <c r="R51" i="1"/>
  <c r="AX51" i="1"/>
  <c r="BJ51" i="1"/>
  <c r="BZ51" i="1"/>
  <c r="CR51" i="1"/>
  <c r="AN51" i="1"/>
  <c r="BT51" i="1"/>
  <c r="CH51" i="1"/>
  <c r="R58" i="1"/>
  <c r="AF58" i="1"/>
  <c r="AT58" i="1"/>
  <c r="BF58" i="1"/>
  <c r="BR58" i="1"/>
  <c r="CD58" i="1"/>
  <c r="CP58" i="1"/>
  <c r="AP62" i="1"/>
  <c r="BD62" i="1"/>
  <c r="BP62" i="1"/>
  <c r="CB62" i="1"/>
  <c r="CN62" i="1"/>
  <c r="AH62" i="1"/>
  <c r="AV62" i="1"/>
  <c r="BH62" i="1"/>
  <c r="BT62" i="1"/>
  <c r="CF62" i="1"/>
  <c r="CR62" i="1"/>
  <c r="BB62" i="1"/>
  <c r="AZ62" i="1"/>
  <c r="BL62" i="1"/>
  <c r="CX72" i="1"/>
  <c r="CD74" i="1"/>
  <c r="AT74" i="1"/>
  <c r="BV74" i="1"/>
  <c r="AJ82" i="1"/>
  <c r="AX82" i="1"/>
  <c r="BV82" i="1"/>
  <c r="CH82" i="1"/>
  <c r="CX86" i="1"/>
  <c r="AL82" i="1"/>
  <c r="AZ82" i="1"/>
  <c r="BL82" i="1"/>
  <c r="BX82" i="1"/>
  <c r="CJ82" i="1"/>
  <c r="V107" i="1"/>
  <c r="AJ107" i="1"/>
  <c r="AX107" i="1"/>
  <c r="BJ107" i="1"/>
  <c r="BV107" i="1"/>
  <c r="CH107" i="1"/>
  <c r="AT107" i="1"/>
  <c r="CW110" i="1"/>
  <c r="CT155" i="1"/>
  <c r="AB163" i="1"/>
  <c r="AP163" i="1"/>
  <c r="BJ163" i="1"/>
  <c r="CH163" i="1"/>
  <c r="V167" i="1"/>
  <c r="AJ167" i="1"/>
  <c r="AV167" i="1"/>
  <c r="BH167" i="1"/>
  <c r="BT167" i="1"/>
  <c r="CF167" i="1"/>
  <c r="CR167" i="1"/>
  <c r="AM167" i="1"/>
  <c r="CW188" i="1"/>
  <c r="Z204" i="1"/>
  <c r="CX204" i="1" s="1"/>
  <c r="CW210" i="1"/>
  <c r="Z210" i="1"/>
  <c r="CX210" i="1" s="1"/>
  <c r="AN87" i="1"/>
  <c r="BN87" i="1"/>
  <c r="BZ87" i="1"/>
  <c r="CX100" i="1"/>
  <c r="CX104" i="1"/>
  <c r="CX105" i="1"/>
  <c r="CX123" i="1"/>
  <c r="T142" i="1"/>
  <c r="AL142" i="1"/>
  <c r="AN142" i="1"/>
  <c r="BN142" i="1"/>
  <c r="BF142" i="1"/>
  <c r="CX154" i="1"/>
  <c r="X155" i="1"/>
  <c r="AL155" i="1"/>
  <c r="AZ155" i="1"/>
  <c r="BL155" i="1"/>
  <c r="CJ155" i="1"/>
  <c r="CV155" i="1"/>
  <c r="AN155" i="1"/>
  <c r="BB155" i="1"/>
  <c r="BZ155" i="1"/>
  <c r="CL155" i="1"/>
  <c r="CW155" i="1"/>
  <c r="AB155" i="1"/>
  <c r="AP155" i="1"/>
  <c r="BD155" i="1"/>
  <c r="BP155" i="1"/>
  <c r="CB155" i="1"/>
  <c r="CX160" i="1"/>
  <c r="CX198" i="1"/>
  <c r="CX203" i="1"/>
  <c r="X87" i="1"/>
  <c r="AH87" i="1"/>
  <c r="AV87" i="1"/>
  <c r="BH87" i="1"/>
  <c r="BT87" i="1"/>
  <c r="CF87" i="1"/>
  <c r="T117" i="1"/>
  <c r="R122" i="1"/>
  <c r="BJ122" i="1"/>
  <c r="CW135" i="1"/>
  <c r="AE142" i="1"/>
  <c r="CW171" i="1"/>
  <c r="BD117" i="1"/>
  <c r="CN117" i="1"/>
  <c r="BV122" i="1"/>
  <c r="AJ163" i="1"/>
  <c r="BP163" i="1"/>
  <c r="CB163" i="1"/>
  <c r="AL167" i="1"/>
  <c r="AZ167" i="1"/>
  <c r="BL167" i="1"/>
  <c r="BX167" i="1"/>
  <c r="CJ167" i="1"/>
  <c r="CV167" i="1"/>
  <c r="AB167" i="1"/>
  <c r="BN167" i="1"/>
  <c r="BZ167" i="1"/>
  <c r="AH167" i="1"/>
  <c r="BB87" i="1"/>
  <c r="CX108" i="1"/>
  <c r="AH107" i="1"/>
  <c r="AV107" i="1"/>
  <c r="BH107" i="1"/>
  <c r="BT107" i="1"/>
  <c r="CF107" i="1"/>
  <c r="CT107" i="1"/>
  <c r="AB107" i="1"/>
  <c r="BF107" i="1"/>
  <c r="BR107" i="1"/>
  <c r="CD107" i="1"/>
  <c r="AP117" i="1"/>
  <c r="Z117" i="1"/>
  <c r="AN117" i="1"/>
  <c r="AT117" i="1"/>
  <c r="BF117" i="1"/>
  <c r="BR117" i="1"/>
  <c r="CD117" i="1"/>
  <c r="CP117" i="1"/>
  <c r="AN122" i="1"/>
  <c r="BB122" i="1"/>
  <c r="BN122" i="1"/>
  <c r="BZ122" i="1"/>
  <c r="CL122" i="1"/>
  <c r="AP122" i="1"/>
  <c r="BD122" i="1"/>
  <c r="CB122" i="1"/>
  <c r="CN122" i="1"/>
  <c r="AF126" i="1"/>
  <c r="CX126" i="1" s="1"/>
  <c r="CX138" i="1"/>
  <c r="Z259" i="1"/>
  <c r="V276" i="1"/>
  <c r="BV287" i="1"/>
  <c r="AH294" i="1"/>
  <c r="BB297" i="1"/>
  <c r="BZ297" i="1"/>
  <c r="CL297" i="1"/>
  <c r="CW297" i="1"/>
  <c r="T297" i="1"/>
  <c r="AH297" i="1"/>
  <c r="AV297" i="1"/>
  <c r="BT297" i="1"/>
  <c r="CF297" i="1"/>
  <c r="V297" i="1"/>
  <c r="BJ297" i="1"/>
  <c r="CH297" i="1"/>
  <c r="X302" i="1"/>
  <c r="AN329" i="1"/>
  <c r="AP344" i="1"/>
  <c r="BJ344" i="1"/>
  <c r="CH344" i="1"/>
  <c r="Z347" i="1"/>
  <c r="CL350" i="1"/>
  <c r="AP364" i="1"/>
  <c r="BD364" i="1"/>
  <c r="BP364" i="1"/>
  <c r="Z370" i="1"/>
  <c r="CN381" i="1"/>
  <c r="AX401" i="1"/>
  <c r="CH401" i="1"/>
  <c r="CX418" i="1"/>
  <c r="AL439" i="1"/>
  <c r="BL490" i="1"/>
  <c r="CX237" i="1"/>
  <c r="CX279" i="1"/>
  <c r="CX285" i="1"/>
  <c r="AZ309" i="1"/>
  <c r="AL309" i="1"/>
  <c r="CJ309" i="1"/>
  <c r="BP314" i="1"/>
  <c r="CT314" i="1"/>
  <c r="CX325" i="1"/>
  <c r="CX326" i="1"/>
  <c r="BH329" i="1"/>
  <c r="AF364" i="1"/>
  <c r="BR364" i="1"/>
  <c r="CD364" i="1"/>
  <c r="AP381" i="1"/>
  <c r="BP381" i="1"/>
  <c r="CB381" i="1"/>
  <c r="BB381" i="1"/>
  <c r="CL381" i="1"/>
  <c r="CX392" i="1"/>
  <c r="AX422" i="1"/>
  <c r="BJ422" i="1"/>
  <c r="BV422" i="1"/>
  <c r="CH422" i="1"/>
  <c r="CV422" i="1"/>
  <c r="AL424" i="1"/>
  <c r="AL422" i="1" s="1"/>
  <c r="CW424" i="1"/>
  <c r="AP422" i="1"/>
  <c r="BD422" i="1"/>
  <c r="CX471" i="1"/>
  <c r="CX477" i="1"/>
  <c r="CX266" i="1"/>
  <c r="CX269" i="1"/>
  <c r="AP302" i="1"/>
  <c r="CX304" i="1"/>
  <c r="AJ309" i="1"/>
  <c r="BP309" i="1"/>
  <c r="CB309" i="1"/>
  <c r="AG329" i="1"/>
  <c r="AV329" i="1"/>
  <c r="AX344" i="1"/>
  <c r="T352" i="1"/>
  <c r="CJ350" i="1"/>
  <c r="AB364" i="1"/>
  <c r="U401" i="1"/>
  <c r="AP401" i="1"/>
  <c r="BD401" i="1"/>
  <c r="BP401" i="1"/>
  <c r="CB401" i="1"/>
  <c r="CP401" i="1"/>
  <c r="BL422" i="1"/>
  <c r="BX422" i="1"/>
  <c r="BL431" i="1"/>
  <c r="AT431" i="1"/>
  <c r="AB437" i="1"/>
  <c r="AP437" i="1"/>
  <c r="BJ437" i="1"/>
  <c r="BV437" i="1"/>
  <c r="CH437" i="1"/>
  <c r="AV437" i="1"/>
  <c r="V302" i="1"/>
  <c r="BJ302" i="1"/>
  <c r="CW371" i="1"/>
  <c r="BH381" i="1"/>
  <c r="CF381" i="1"/>
  <c r="R401" i="1"/>
  <c r="AF401" i="1"/>
  <c r="AK431" i="1"/>
  <c r="AZ431" i="1"/>
  <c r="AV431" i="1"/>
  <c r="BH431" i="1"/>
  <c r="BT431" i="1"/>
  <c r="CF431" i="1"/>
  <c r="CT431" i="1"/>
  <c r="CX435" i="1"/>
  <c r="BR431" i="1"/>
  <c r="CL437" i="1"/>
  <c r="CR276" i="1"/>
  <c r="T287" i="1"/>
  <c r="AF287" i="1"/>
  <c r="AT287" i="1"/>
  <c r="BF287" i="1"/>
  <c r="BR287" i="1"/>
  <c r="CD287" i="1"/>
  <c r="CP287" i="1"/>
  <c r="CR287" i="1"/>
  <c r="R309" i="1"/>
  <c r="AT309" i="1"/>
  <c r="BF309" i="1"/>
  <c r="BR309" i="1"/>
  <c r="CD309" i="1"/>
  <c r="CP309" i="1"/>
  <c r="BJ314" i="1"/>
  <c r="BV314" i="1"/>
  <c r="CH314" i="1"/>
  <c r="V329" i="1"/>
  <c r="AH339" i="1"/>
  <c r="AH342" i="1"/>
  <c r="CX359" i="1"/>
  <c r="AH437" i="1"/>
  <c r="AB490" i="1"/>
  <c r="AP490" i="1"/>
  <c r="BD490" i="1"/>
  <c r="BP490" i="1"/>
  <c r="CB490" i="1"/>
  <c r="BX297" i="1"/>
  <c r="CH302" i="1"/>
  <c r="BX302" i="1"/>
  <c r="BJ309" i="1"/>
  <c r="BT329" i="1"/>
  <c r="CF329" i="1"/>
  <c r="AL344" i="1"/>
  <c r="BR344" i="1"/>
  <c r="CD344" i="1"/>
  <c r="V350" i="1"/>
  <c r="AJ350" i="1"/>
  <c r="CX375" i="1"/>
  <c r="T396" i="1"/>
  <c r="CX419" i="1"/>
  <c r="CX420" i="1"/>
  <c r="AT422" i="1"/>
  <c r="BF422" i="1"/>
  <c r="BR422" i="1"/>
  <c r="CD422" i="1"/>
  <c r="CR422" i="1"/>
  <c r="AZ422" i="1"/>
  <c r="CX426" i="1"/>
  <c r="X431" i="1"/>
  <c r="CW431" i="1"/>
  <c r="CV431" i="1"/>
  <c r="AJ437" i="1"/>
  <c r="BB437" i="1"/>
  <c r="BN437" i="1"/>
  <c r="V447" i="1"/>
  <c r="AJ447" i="1"/>
  <c r="BB447" i="1"/>
  <c r="BN447" i="1"/>
  <c r="BZ447" i="1"/>
  <c r="CL447" i="1"/>
  <c r="CX449" i="1"/>
  <c r="AF447" i="1"/>
  <c r="AX447" i="1"/>
  <c r="BX447" i="1"/>
  <c r="CX450" i="1"/>
  <c r="BH447" i="1"/>
  <c r="AZ447" i="1"/>
  <c r="CX454" i="1"/>
  <c r="CP447" i="1"/>
  <c r="AV447" i="1"/>
  <c r="BT447" i="1"/>
  <c r="CX460" i="1"/>
  <c r="Z466" i="1"/>
  <c r="Z447" i="1" s="1"/>
  <c r="CX467" i="1"/>
  <c r="V490" i="1"/>
  <c r="AJ490" i="1"/>
  <c r="AX490" i="1"/>
  <c r="BJ490" i="1"/>
  <c r="BV490" i="1"/>
  <c r="CH490" i="1"/>
  <c r="CV490" i="1"/>
  <c r="Z490" i="1"/>
  <c r="AN490" i="1"/>
  <c r="BB490" i="1"/>
  <c r="BN490" i="1"/>
  <c r="BZ490" i="1"/>
  <c r="CN490" i="1"/>
  <c r="AF490" i="1"/>
  <c r="AT490" i="1"/>
  <c r="BR490" i="1"/>
  <c r="CD490" i="1"/>
  <c r="CX495" i="1"/>
  <c r="CX497" i="1"/>
  <c r="CX498" i="1"/>
  <c r="CX501" i="1"/>
  <c r="CX503" i="1"/>
  <c r="CX504" i="1"/>
  <c r="AY16" i="1"/>
  <c r="CX18" i="1"/>
  <c r="AF16" i="1"/>
  <c r="AT16" i="1"/>
  <c r="CX19" i="1"/>
  <c r="AU519" i="1"/>
  <c r="BC519" i="1"/>
  <c r="CA519" i="1"/>
  <c r="CI519" i="1"/>
  <c r="CQ519" i="1"/>
  <c r="CX15" i="1"/>
  <c r="CX14" i="1" s="1"/>
  <c r="AE16" i="1"/>
  <c r="CW24" i="1"/>
  <c r="CX25" i="1"/>
  <c r="CX27" i="1"/>
  <c r="CX33" i="1"/>
  <c r="AH34" i="1"/>
  <c r="AZ34" i="1"/>
  <c r="BL34" i="1"/>
  <c r="BX34" i="1"/>
  <c r="CW41" i="1"/>
  <c r="AH43" i="1"/>
  <c r="CX48" i="1"/>
  <c r="CX49" i="1"/>
  <c r="CX59" i="1"/>
  <c r="Z58" i="1"/>
  <c r="AN58" i="1"/>
  <c r="BB58" i="1"/>
  <c r="BN58" i="1"/>
  <c r="BZ58" i="1"/>
  <c r="CL58" i="1"/>
  <c r="CX63" i="1"/>
  <c r="CX64" i="1"/>
  <c r="AF62" i="1"/>
  <c r="AT62" i="1"/>
  <c r="BF62" i="1"/>
  <c r="BR62" i="1"/>
  <c r="CD62" i="1"/>
  <c r="CP62" i="1"/>
  <c r="CX66" i="1"/>
  <c r="CX68" i="1"/>
  <c r="CX78" i="1"/>
  <c r="BJ74" i="1"/>
  <c r="CX79" i="1"/>
  <c r="CX91" i="1"/>
  <c r="CX94" i="1"/>
  <c r="CX95" i="1"/>
  <c r="CX99" i="1"/>
  <c r="CR107" i="1"/>
  <c r="AN107" i="1"/>
  <c r="BB107" i="1"/>
  <c r="BN107" i="1"/>
  <c r="BZ107" i="1"/>
  <c r="CL107" i="1"/>
  <c r="CX111" i="1"/>
  <c r="AZ107" i="1"/>
  <c r="BL107" i="1"/>
  <c r="BX107" i="1"/>
  <c r="CJ107" i="1"/>
  <c r="AP107" i="1"/>
  <c r="BD107" i="1"/>
  <c r="BP107" i="1"/>
  <c r="CB107" i="1"/>
  <c r="CN107" i="1"/>
  <c r="AG117" i="1"/>
  <c r="AX117" i="1"/>
  <c r="BJ117" i="1"/>
  <c r="BV117" i="1"/>
  <c r="CH117" i="1"/>
  <c r="CT117" i="1"/>
  <c r="R117" i="1"/>
  <c r="AF117" i="1"/>
  <c r="CX124" i="1"/>
  <c r="AZ122" i="1"/>
  <c r="CX128" i="1"/>
  <c r="CX130" i="1"/>
  <c r="CX132" i="1"/>
  <c r="CX139" i="1"/>
  <c r="CX143" i="1"/>
  <c r="BZ142" i="1"/>
  <c r="CL142" i="1"/>
  <c r="AN163" i="1"/>
  <c r="CW166" i="1"/>
  <c r="X62" i="1"/>
  <c r="AL62" i="1"/>
  <c r="V74" i="1"/>
  <c r="AF87" i="1"/>
  <c r="CB117" i="1"/>
  <c r="Z122" i="1"/>
  <c r="BH142" i="1"/>
  <c r="BT142" i="1"/>
  <c r="CF142" i="1"/>
  <c r="BB142" i="1"/>
  <c r="AV142" i="1"/>
  <c r="CX31" i="1"/>
  <c r="CX32" i="1"/>
  <c r="U34" i="1"/>
  <c r="T37" i="1"/>
  <c r="AH37" i="1"/>
  <c r="X37" i="1"/>
  <c r="AJ37" i="1"/>
  <c r="CX47" i="1"/>
  <c r="CX67" i="1"/>
  <c r="AJ62" i="1"/>
  <c r="BV62" i="1"/>
  <c r="CH62" i="1"/>
  <c r="CT62" i="1"/>
  <c r="CX73" i="1"/>
  <c r="AL74" i="1"/>
  <c r="BR74" i="1"/>
  <c r="X74" i="1"/>
  <c r="BD74" i="1"/>
  <c r="CN74" i="1"/>
  <c r="CT82" i="1"/>
  <c r="CX93" i="1"/>
  <c r="AT87" i="1"/>
  <c r="BF87" i="1"/>
  <c r="BR87" i="1"/>
  <c r="CD87" i="1"/>
  <c r="CX102" i="1"/>
  <c r="CX103" i="1"/>
  <c r="Z107" i="1"/>
  <c r="AK117" i="1"/>
  <c r="T122" i="1"/>
  <c r="AH122" i="1"/>
  <c r="AV122" i="1"/>
  <c r="BH122" i="1"/>
  <c r="BT122" i="1"/>
  <c r="CF122" i="1"/>
  <c r="CR122" i="1"/>
  <c r="CX133" i="1"/>
  <c r="CX134" i="1"/>
  <c r="CX141" i="1"/>
  <c r="V142" i="1"/>
  <c r="AJ142" i="1"/>
  <c r="AX142" i="1"/>
  <c r="CX157" i="1"/>
  <c r="CX162" i="1"/>
  <c r="Y16" i="1"/>
  <c r="CR16" i="1"/>
  <c r="AL16" i="1"/>
  <c r="V16" i="1"/>
  <c r="BH16" i="1"/>
  <c r="BT16" i="1"/>
  <c r="CW29" i="1"/>
  <c r="AL34" i="1"/>
  <c r="U37" i="1"/>
  <c r="V44" i="1"/>
  <c r="AJ44" i="1"/>
  <c r="AX44" i="1"/>
  <c r="BJ44" i="1"/>
  <c r="BV44" i="1"/>
  <c r="CH44" i="1"/>
  <c r="CW44" i="1"/>
  <c r="CX53" i="1"/>
  <c r="AZ51" i="1"/>
  <c r="CX70" i="1"/>
  <c r="Z74" i="1"/>
  <c r="AN74" i="1"/>
  <c r="BH74" i="1"/>
  <c r="BT74" i="1"/>
  <c r="CF74" i="1"/>
  <c r="CT74" i="1"/>
  <c r="Z82" i="1"/>
  <c r="AN82" i="1"/>
  <c r="BB82" i="1"/>
  <c r="BN82" i="1"/>
  <c r="BZ82" i="1"/>
  <c r="CL82" i="1"/>
  <c r="BJ82" i="1"/>
  <c r="CW82" i="1"/>
  <c r="AJ87" i="1"/>
  <c r="AX87" i="1"/>
  <c r="BJ87" i="1"/>
  <c r="BV87" i="1"/>
  <c r="CH87" i="1"/>
  <c r="CX97" i="1"/>
  <c r="X107" i="1"/>
  <c r="CX114" i="1"/>
  <c r="AZ117" i="1"/>
  <c r="BL117" i="1"/>
  <c r="BX117" i="1"/>
  <c r="CJ117" i="1"/>
  <c r="CW118" i="1"/>
  <c r="AB117" i="1"/>
  <c r="AG122" i="1"/>
  <c r="V122" i="1"/>
  <c r="AB122" i="1"/>
  <c r="AL122" i="1"/>
  <c r="CJ122" i="1"/>
  <c r="CV122" i="1"/>
  <c r="CX136" i="1"/>
  <c r="CX137" i="1"/>
  <c r="X142" i="1"/>
  <c r="AB142" i="1"/>
  <c r="CX148" i="1"/>
  <c r="CX149" i="1"/>
  <c r="CX152" i="1"/>
  <c r="AZ163" i="1"/>
  <c r="BH163" i="1"/>
  <c r="BT163" i="1"/>
  <c r="CF163" i="1"/>
  <c r="CR163" i="1"/>
  <c r="BL16" i="1"/>
  <c r="BX16" i="1"/>
  <c r="CJ16" i="1"/>
  <c r="AI519" i="1"/>
  <c r="BG519" i="1"/>
  <c r="BO519" i="1"/>
  <c r="BA519" i="1"/>
  <c r="BY519" i="1"/>
  <c r="AM16" i="1"/>
  <c r="BF16" i="1"/>
  <c r="AB16" i="1"/>
  <c r="CX21" i="1"/>
  <c r="CW27" i="1"/>
  <c r="CX30" i="1"/>
  <c r="BD37" i="1"/>
  <c r="BP37" i="1"/>
  <c r="CB37" i="1"/>
  <c r="CN37" i="1"/>
  <c r="AV37" i="1"/>
  <c r="BH37" i="1"/>
  <c r="BT37" i="1"/>
  <c r="CF37" i="1"/>
  <c r="CT37" i="1"/>
  <c r="AX37" i="1"/>
  <c r="BJ37" i="1"/>
  <c r="BV37" i="1"/>
  <c r="CH37" i="1"/>
  <c r="CX43" i="1"/>
  <c r="R44" i="1"/>
  <c r="AF44" i="1"/>
  <c r="AT44" i="1"/>
  <c r="BF44" i="1"/>
  <c r="BR44" i="1"/>
  <c r="CD44" i="1"/>
  <c r="CP44" i="1"/>
  <c r="AF51" i="1"/>
  <c r="CX55" i="1"/>
  <c r="CX60" i="1"/>
  <c r="CX65" i="1"/>
  <c r="Z62" i="1"/>
  <c r="CX69" i="1"/>
  <c r="CX71" i="1"/>
  <c r="AB82" i="1"/>
  <c r="AP82" i="1"/>
  <c r="BD82" i="1"/>
  <c r="CB82" i="1"/>
  <c r="CN82" i="1"/>
  <c r="T82" i="1"/>
  <c r="U87" i="1"/>
  <c r="AP87" i="1"/>
  <c r="BD87" i="1"/>
  <c r="BP87" i="1"/>
  <c r="CB87" i="1"/>
  <c r="AL87" i="1"/>
  <c r="AZ87" i="1"/>
  <c r="BL87" i="1"/>
  <c r="BX87" i="1"/>
  <c r="CX101" i="1"/>
  <c r="T107" i="1"/>
  <c r="CX110" i="1"/>
  <c r="AF107" i="1"/>
  <c r="CX116" i="1"/>
  <c r="V117" i="1"/>
  <c r="AJ117" i="1"/>
  <c r="BB117" i="1"/>
  <c r="BN117" i="1"/>
  <c r="BZ117" i="1"/>
  <c r="CL117" i="1"/>
  <c r="CX127" i="1"/>
  <c r="BF122" i="1"/>
  <c r="BR122" i="1"/>
  <c r="CD122" i="1"/>
  <c r="CX135" i="1"/>
  <c r="CW142" i="1"/>
  <c r="CX146" i="1"/>
  <c r="CR142" i="1"/>
  <c r="V155" i="1"/>
  <c r="AJ155" i="1"/>
  <c r="BJ155" i="1"/>
  <c r="BV155" i="1"/>
  <c r="CX161" i="1"/>
  <c r="U163" i="1"/>
  <c r="CX22" i="1"/>
  <c r="CX29" i="1"/>
  <c r="CX36" i="1"/>
  <c r="CX41" i="1"/>
  <c r="BD44" i="1"/>
  <c r="BP44" i="1"/>
  <c r="CB44" i="1"/>
  <c r="CN44" i="1"/>
  <c r="V51" i="1"/>
  <c r="CX57" i="1"/>
  <c r="CX56" i="1" s="1"/>
  <c r="T62" i="1"/>
  <c r="AX62" i="1"/>
  <c r="BJ62" i="1"/>
  <c r="BX62" i="1"/>
  <c r="CJ62" i="1"/>
  <c r="CW62" i="1"/>
  <c r="CX75" i="1"/>
  <c r="CX76" i="1"/>
  <c r="AB74" i="1"/>
  <c r="AP74" i="1"/>
  <c r="R87" i="1"/>
  <c r="CT87" i="1"/>
  <c r="CX96" i="1"/>
  <c r="CX106" i="1"/>
  <c r="CX109" i="1"/>
  <c r="CX112" i="1"/>
  <c r="CX113" i="1"/>
  <c r="X117" i="1"/>
  <c r="BH117" i="1"/>
  <c r="BT117" i="1"/>
  <c r="CF117" i="1"/>
  <c r="CR117" i="1"/>
  <c r="CX125" i="1"/>
  <c r="BL122" i="1"/>
  <c r="BX122" i="1"/>
  <c r="CX129" i="1"/>
  <c r="CW131" i="1"/>
  <c r="CW134" i="1"/>
  <c r="CX140" i="1"/>
  <c r="R167" i="1"/>
  <c r="BJ142" i="1"/>
  <c r="BV142" i="1"/>
  <c r="CH142" i="1"/>
  <c r="CT142" i="1"/>
  <c r="CX147" i="1"/>
  <c r="CX150" i="1"/>
  <c r="CX151" i="1"/>
  <c r="T155" i="1"/>
  <c r="AH155" i="1"/>
  <c r="AV155" i="1"/>
  <c r="BH155" i="1"/>
  <c r="BT155" i="1"/>
  <c r="CF155" i="1"/>
  <c r="CR155" i="1"/>
  <c r="V163" i="1"/>
  <c r="BB163" i="1"/>
  <c r="CP163" i="1"/>
  <c r="CX169" i="1"/>
  <c r="CX170" i="1"/>
  <c r="AF167" i="1"/>
  <c r="AP167" i="1"/>
  <c r="BD167" i="1"/>
  <c r="BP167" i="1"/>
  <c r="CB167" i="1"/>
  <c r="CN167" i="1"/>
  <c r="CX176" i="1"/>
  <c r="AN193" i="1"/>
  <c r="CX193" i="1" s="1"/>
  <c r="CX195" i="1"/>
  <c r="Z197" i="1"/>
  <c r="CX197" i="1" s="1"/>
  <c r="CX213" i="1"/>
  <c r="CX221" i="1"/>
  <c r="CX227" i="1"/>
  <c r="CW230" i="1"/>
  <c r="CX231" i="1"/>
  <c r="Z232" i="1"/>
  <c r="CX232" i="1" s="1"/>
  <c r="AN234" i="1"/>
  <c r="CX234" i="1" s="1"/>
  <c r="CW236" i="1"/>
  <c r="CX240" i="1"/>
  <c r="Z246" i="1"/>
  <c r="CX246" i="1" s="1"/>
  <c r="CW271" i="1"/>
  <c r="Z272" i="1"/>
  <c r="CX272" i="1" s="1"/>
  <c r="CX275" i="1"/>
  <c r="CX278" i="1"/>
  <c r="AL276" i="1"/>
  <c r="AJ276" i="1"/>
  <c r="V287" i="1"/>
  <c r="CX291" i="1"/>
  <c r="CX292" i="1"/>
  <c r="R297" i="1"/>
  <c r="AF297" i="1"/>
  <c r="AT297" i="1"/>
  <c r="BF297" i="1"/>
  <c r="BR297" i="1"/>
  <c r="CD297" i="1"/>
  <c r="CP297" i="1"/>
  <c r="CT297" i="1"/>
  <c r="AZ302" i="1"/>
  <c r="BN302" i="1"/>
  <c r="BZ302" i="1"/>
  <c r="BD309" i="1"/>
  <c r="CW311" i="1"/>
  <c r="CW309" i="1" s="1"/>
  <c r="AF311" i="1"/>
  <c r="AF309" i="1" s="1"/>
  <c r="X314" i="1"/>
  <c r="CN314" i="1"/>
  <c r="AZ314" i="1"/>
  <c r="BN314" i="1"/>
  <c r="BZ314" i="1"/>
  <c r="CW322" i="1"/>
  <c r="AN322" i="1"/>
  <c r="CX322" i="1" s="1"/>
  <c r="AT167" i="1"/>
  <c r="BF167" i="1"/>
  <c r="BR167" i="1"/>
  <c r="CD167" i="1"/>
  <c r="CP167" i="1"/>
  <c r="CW173" i="1"/>
  <c r="CW187" i="1"/>
  <c r="CX189" i="1"/>
  <c r="CX194" i="1"/>
  <c r="CX209" i="1"/>
  <c r="CX230" i="1"/>
  <c r="CX235" i="1"/>
  <c r="CX236" i="1"/>
  <c r="CW239" i="1"/>
  <c r="CW244" i="1"/>
  <c r="CX260" i="1"/>
  <c r="CX268" i="1"/>
  <c r="CX274" i="1"/>
  <c r="AB276" i="1"/>
  <c r="CX277" i="1"/>
  <c r="AP276" i="1"/>
  <c r="BD276" i="1"/>
  <c r="BP276" i="1"/>
  <c r="CB276" i="1"/>
  <c r="CN276" i="1"/>
  <c r="Z276" i="1"/>
  <c r="CT276" i="1"/>
  <c r="Z287" i="1"/>
  <c r="AX302" i="1"/>
  <c r="BV302" i="1"/>
  <c r="CT302" i="1"/>
  <c r="BL302" i="1"/>
  <c r="CW305" i="1"/>
  <c r="Y302" i="1"/>
  <c r="CX183" i="1"/>
  <c r="CX201" i="1"/>
  <c r="CX208" i="1"/>
  <c r="CX212" i="1"/>
  <c r="CX215" i="1"/>
  <c r="CX217" i="1"/>
  <c r="CX218" i="1"/>
  <c r="CX223" i="1"/>
  <c r="CX226" i="1"/>
  <c r="CX244" i="1"/>
  <c r="CX259" i="1"/>
  <c r="BJ276" i="1"/>
  <c r="BV276" i="1"/>
  <c r="CH276" i="1"/>
  <c r="CW276" i="1"/>
  <c r="CX286" i="1"/>
  <c r="AP142" i="1"/>
  <c r="BD142" i="1"/>
  <c r="BP142" i="1"/>
  <c r="CB142" i="1"/>
  <c r="CN142" i="1"/>
  <c r="CX144" i="1"/>
  <c r="AH142" i="1"/>
  <c r="BX142" i="1"/>
  <c r="CJ142" i="1"/>
  <c r="CX153" i="1"/>
  <c r="Z155" i="1"/>
  <c r="CX159" i="1"/>
  <c r="CW163" i="1"/>
  <c r="BL163" i="1"/>
  <c r="BX163" i="1"/>
  <c r="CL163" i="1"/>
  <c r="X167" i="1"/>
  <c r="CW170" i="1"/>
  <c r="AN172" i="1"/>
  <c r="CX178" i="1"/>
  <c r="Z182" i="1"/>
  <c r="CX182" i="1" s="1"/>
  <c r="CX196" i="1"/>
  <c r="CX200" i="1"/>
  <c r="Z211" i="1"/>
  <c r="CX211" i="1" s="1"/>
  <c r="CX216" i="1"/>
  <c r="CX220" i="1"/>
  <c r="CX224" i="1"/>
  <c r="CX242" i="1"/>
  <c r="Z243" i="1"/>
  <c r="CW251" i="1"/>
  <c r="CX252" i="1"/>
  <c r="CW258" i="1"/>
  <c r="CX281" i="1"/>
  <c r="AX276" i="1"/>
  <c r="BL276" i="1"/>
  <c r="BX276" i="1"/>
  <c r="CX282" i="1"/>
  <c r="CX283" i="1"/>
  <c r="CX289" i="1"/>
  <c r="CX290" i="1"/>
  <c r="CL302" i="1"/>
  <c r="AX309" i="1"/>
  <c r="BV309" i="1"/>
  <c r="CH309" i="1"/>
  <c r="CT309" i="1"/>
  <c r="CX315" i="1"/>
  <c r="R314" i="1"/>
  <c r="AF314" i="1"/>
  <c r="AT314" i="1"/>
  <c r="BF314" i="1"/>
  <c r="BR314" i="1"/>
  <c r="CD314" i="1"/>
  <c r="CR314" i="1"/>
  <c r="CV314" i="1"/>
  <c r="CX318" i="1"/>
  <c r="Z314" i="1"/>
  <c r="AN314" i="1"/>
  <c r="CL314" i="1"/>
  <c r="CX158" i="1"/>
  <c r="CX164" i="1"/>
  <c r="CX165" i="1"/>
  <c r="AF163" i="1"/>
  <c r="BF163" i="1"/>
  <c r="BR163" i="1"/>
  <c r="CD163" i="1"/>
  <c r="AX167" i="1"/>
  <c r="BJ167" i="1"/>
  <c r="BV167" i="1"/>
  <c r="CH167" i="1"/>
  <c r="CT167" i="1"/>
  <c r="CX173" i="1"/>
  <c r="CX191" i="1"/>
  <c r="CX199" i="1"/>
  <c r="CX214" i="1"/>
  <c r="CX222" i="1"/>
  <c r="CX228" i="1"/>
  <c r="CX247" i="1"/>
  <c r="CW250" i="1"/>
  <c r="CX251" i="1"/>
  <c r="CW257" i="1"/>
  <c r="CX258" i="1"/>
  <c r="T276" i="1"/>
  <c r="AZ276" i="1"/>
  <c r="CX284" i="1"/>
  <c r="CX293" i="1"/>
  <c r="CX295" i="1"/>
  <c r="CX312" i="1"/>
  <c r="CX323" i="1"/>
  <c r="CX273" i="1"/>
  <c r="CX280" i="1"/>
  <c r="CJ276" i="1"/>
  <c r="BH287" i="1"/>
  <c r="BT287" i="1"/>
  <c r="CF287" i="1"/>
  <c r="CX298" i="1"/>
  <c r="AP297" i="1"/>
  <c r="BD297" i="1"/>
  <c r="BP297" i="1"/>
  <c r="CB297" i="1"/>
  <c r="CN297" i="1"/>
  <c r="CX303" i="1"/>
  <c r="CX313" i="1"/>
  <c r="T314" i="1"/>
  <c r="AH314" i="1"/>
  <c r="AV314" i="1"/>
  <c r="BH314" i="1"/>
  <c r="BT314" i="1"/>
  <c r="CF314" i="1"/>
  <c r="BL314" i="1"/>
  <c r="BX314" i="1"/>
  <c r="CJ314" i="1"/>
  <c r="CX324" i="1"/>
  <c r="CT329" i="1"/>
  <c r="CX340" i="1"/>
  <c r="CX345" i="1"/>
  <c r="AF344" i="1"/>
  <c r="BL344" i="1"/>
  <c r="BX344" i="1"/>
  <c r="CL344" i="1"/>
  <c r="CX346" i="1"/>
  <c r="CX347" i="1"/>
  <c r="T350" i="1"/>
  <c r="AH350" i="1"/>
  <c r="AV350" i="1"/>
  <c r="BH350" i="1"/>
  <c r="BT350" i="1"/>
  <c r="CF350" i="1"/>
  <c r="CT350" i="1"/>
  <c r="BB350" i="1"/>
  <c r="BN350" i="1"/>
  <c r="BZ350" i="1"/>
  <c r="CX355" i="1"/>
  <c r="CX360" i="1"/>
  <c r="CX361" i="1"/>
  <c r="U364" i="1"/>
  <c r="AH365" i="1"/>
  <c r="BB364" i="1"/>
  <c r="BN364" i="1"/>
  <c r="BZ364" i="1"/>
  <c r="T364" i="1"/>
  <c r="AV364" i="1"/>
  <c r="BH364" i="1"/>
  <c r="BT364" i="1"/>
  <c r="CF364" i="1"/>
  <c r="CV364" i="1"/>
  <c r="AN374" i="1"/>
  <c r="CX374" i="1" s="1"/>
  <c r="CW379" i="1"/>
  <c r="AT381" i="1"/>
  <c r="BF381" i="1"/>
  <c r="BR381" i="1"/>
  <c r="CD381" i="1"/>
  <c r="CT381" i="1"/>
  <c r="CX338" i="1"/>
  <c r="CX339" i="1"/>
  <c r="AH344" i="1"/>
  <c r="AZ344" i="1"/>
  <c r="BN344" i="1"/>
  <c r="BZ344" i="1"/>
  <c r="CP344" i="1"/>
  <c r="Z350" i="1"/>
  <c r="AN350" i="1"/>
  <c r="X350" i="1"/>
  <c r="BD350" i="1"/>
  <c r="BP350" i="1"/>
  <c r="CB350" i="1"/>
  <c r="CN350" i="1"/>
  <c r="CP350" i="1"/>
  <c r="CX362" i="1"/>
  <c r="CR364" i="1"/>
  <c r="CX380" i="1"/>
  <c r="BV329" i="1"/>
  <c r="CH329" i="1"/>
  <c r="V344" i="1"/>
  <c r="AB350" i="1"/>
  <c r="AP350" i="1"/>
  <c r="CX365" i="1"/>
  <c r="AZ364" i="1"/>
  <c r="CW384" i="1"/>
  <c r="AN384" i="1"/>
  <c r="AN381" i="1" s="1"/>
  <c r="CX301" i="1"/>
  <c r="AB302" i="1"/>
  <c r="BD302" i="1"/>
  <c r="BP302" i="1"/>
  <c r="CB302" i="1"/>
  <c r="AJ302" i="1"/>
  <c r="BB302" i="1"/>
  <c r="BL309" i="1"/>
  <c r="BX309" i="1"/>
  <c r="CL309" i="1"/>
  <c r="CX316" i="1"/>
  <c r="BB314" i="1"/>
  <c r="CX319" i="1"/>
  <c r="AP329" i="1"/>
  <c r="CX334" i="1"/>
  <c r="AX329" i="1"/>
  <c r="BJ329" i="1"/>
  <c r="CX335" i="1"/>
  <c r="CX337" i="1"/>
  <c r="CV329" i="1"/>
  <c r="CX348" i="1"/>
  <c r="CX349" i="1"/>
  <c r="AF350" i="1"/>
  <c r="CX353" i="1"/>
  <c r="AL357" i="1"/>
  <c r="CX363" i="1"/>
  <c r="CN364" i="1"/>
  <c r="CX368" i="1"/>
  <c r="Z371" i="1"/>
  <c r="CX371" i="1" s="1"/>
  <c r="CX376" i="1"/>
  <c r="CX378" i="1"/>
  <c r="X381" i="1"/>
  <c r="AB381" i="1"/>
  <c r="BJ401" i="1"/>
  <c r="BV401" i="1"/>
  <c r="BN309" i="1"/>
  <c r="BZ309" i="1"/>
  <c r="CN309" i="1"/>
  <c r="CW314" i="1"/>
  <c r="CX321" i="1"/>
  <c r="CX328" i="1"/>
  <c r="CX327" i="1" s="1"/>
  <c r="CX332" i="1"/>
  <c r="AZ329" i="1"/>
  <c r="BL329" i="1"/>
  <c r="BX329" i="1"/>
  <c r="CJ329" i="1"/>
  <c r="CX333" i="1"/>
  <c r="CX336" i="1"/>
  <c r="BF344" i="1"/>
  <c r="CR344" i="1"/>
  <c r="CX352" i="1"/>
  <c r="AZ350" i="1"/>
  <c r="BL350" i="1"/>
  <c r="BX350" i="1"/>
  <c r="CX357" i="1"/>
  <c r="CX358" i="1"/>
  <c r="R364" i="1"/>
  <c r="CB364" i="1"/>
  <c r="V364" i="1"/>
  <c r="CX369" i="1"/>
  <c r="CW372" i="1"/>
  <c r="CW378" i="1"/>
  <c r="T381" i="1"/>
  <c r="AZ381" i="1"/>
  <c r="BL381" i="1"/>
  <c r="BX381" i="1"/>
  <c r="CW395" i="1"/>
  <c r="AH395" i="1"/>
  <c r="AH381" i="1" s="1"/>
  <c r="R329" i="1"/>
  <c r="AF329" i="1"/>
  <c r="AT329" i="1"/>
  <c r="BF329" i="1"/>
  <c r="BR329" i="1"/>
  <c r="CD329" i="1"/>
  <c r="CX342" i="1"/>
  <c r="AB344" i="1"/>
  <c r="Z344" i="1"/>
  <c r="AN344" i="1"/>
  <c r="BH344" i="1"/>
  <c r="BT344" i="1"/>
  <c r="CF344" i="1"/>
  <c r="AK350" i="1"/>
  <c r="BR350" i="1"/>
  <c r="CD350" i="1"/>
  <c r="CR350" i="1"/>
  <c r="CX354" i="1"/>
  <c r="CX356" i="1"/>
  <c r="CX367" i="1"/>
  <c r="CX370" i="1"/>
  <c r="CX393" i="1"/>
  <c r="CW405" i="1"/>
  <c r="AH405" i="1"/>
  <c r="CX405" i="1" s="1"/>
  <c r="BN381" i="1"/>
  <c r="BZ381" i="1"/>
  <c r="CX391" i="1"/>
  <c r="CX394" i="1"/>
  <c r="CX398" i="1"/>
  <c r="CW398" i="1"/>
  <c r="CJ401" i="1"/>
  <c r="CW409" i="1"/>
  <c r="AH422" i="1"/>
  <c r="AV422" i="1"/>
  <c r="BH422" i="1"/>
  <c r="BT422" i="1"/>
  <c r="CF422" i="1"/>
  <c r="CT422" i="1"/>
  <c r="V431" i="1"/>
  <c r="AJ431" i="1"/>
  <c r="BB431" i="1"/>
  <c r="BP431" i="1"/>
  <c r="CB431" i="1"/>
  <c r="AP431" i="1"/>
  <c r="BD431" i="1"/>
  <c r="Z437" i="1"/>
  <c r="CF437" i="1"/>
  <c r="CW439" i="1"/>
  <c r="CX443" i="1"/>
  <c r="X447" i="1"/>
  <c r="BD447" i="1"/>
  <c r="BP447" i="1"/>
  <c r="CB447" i="1"/>
  <c r="CN447" i="1"/>
  <c r="CX452" i="1"/>
  <c r="CX463" i="1"/>
  <c r="CX464" i="1"/>
  <c r="CX472" i="1"/>
  <c r="CX478" i="1"/>
  <c r="CX491" i="1"/>
  <c r="CR490" i="1"/>
  <c r="CX493" i="1"/>
  <c r="CX494" i="1"/>
  <c r="CT490" i="1"/>
  <c r="CX499" i="1"/>
  <c r="CX505" i="1"/>
  <c r="CX511" i="1"/>
  <c r="CX514" i="1"/>
  <c r="X401" i="1"/>
  <c r="BF401" i="1"/>
  <c r="BR401" i="1"/>
  <c r="CD401" i="1"/>
  <c r="CR401" i="1"/>
  <c r="AT401" i="1"/>
  <c r="V422" i="1"/>
  <c r="AJ422" i="1"/>
  <c r="CX424" i="1"/>
  <c r="BP422" i="1"/>
  <c r="CB422" i="1"/>
  <c r="CR431" i="1"/>
  <c r="CX434" i="1"/>
  <c r="CX436" i="1"/>
  <c r="CX439" i="1"/>
  <c r="CX442" i="1"/>
  <c r="AF437" i="1"/>
  <c r="AT437" i="1"/>
  <c r="CX444" i="1"/>
  <c r="CF447" i="1"/>
  <c r="CX461" i="1"/>
  <c r="CX462" i="1"/>
  <c r="CX466" i="1"/>
  <c r="CX492" i="1"/>
  <c r="BH401" i="1"/>
  <c r="BT401" i="1"/>
  <c r="CF401" i="1"/>
  <c r="CT401" i="1"/>
  <c r="CX406" i="1"/>
  <c r="CX411" i="1"/>
  <c r="AH414" i="1"/>
  <c r="CX414" i="1" s="1"/>
  <c r="CW417" i="1"/>
  <c r="CX423" i="1"/>
  <c r="CL422" i="1"/>
  <c r="CW422" i="1"/>
  <c r="AB422" i="1"/>
  <c r="AN431" i="1"/>
  <c r="BN431" i="1"/>
  <c r="BZ431" i="1"/>
  <c r="CN431" i="1"/>
  <c r="CV437" i="1"/>
  <c r="CX446" i="1"/>
  <c r="CX451" i="1"/>
  <c r="CT447" i="1"/>
  <c r="CX457" i="1"/>
  <c r="CX470" i="1"/>
  <c r="CX476" i="1"/>
  <c r="CX507" i="1"/>
  <c r="CX509" i="1"/>
  <c r="CX510" i="1"/>
  <c r="CX513" i="1"/>
  <c r="CX396" i="1"/>
  <c r="S401" i="1"/>
  <c r="AL402" i="1"/>
  <c r="AL401" i="1" s="1"/>
  <c r="AZ401" i="1"/>
  <c r="BL401" i="1"/>
  <c r="BX401" i="1"/>
  <c r="CX403" i="1"/>
  <c r="CX407" i="1"/>
  <c r="CX408" i="1"/>
  <c r="Z422" i="1"/>
  <c r="AN422" i="1"/>
  <c r="BB422" i="1"/>
  <c r="BN422" i="1"/>
  <c r="BZ422" i="1"/>
  <c r="CN422" i="1"/>
  <c r="CX425" i="1"/>
  <c r="CX427" i="1"/>
  <c r="CX428" i="1"/>
  <c r="CX429" i="1"/>
  <c r="CX430" i="1"/>
  <c r="AB431" i="1"/>
  <c r="BJ431" i="1"/>
  <c r="BV431" i="1"/>
  <c r="CH431" i="1"/>
  <c r="AZ437" i="1"/>
  <c r="BZ437" i="1"/>
  <c r="CN437" i="1"/>
  <c r="AX437" i="1"/>
  <c r="CW440" i="1"/>
  <c r="BD437" i="1"/>
  <c r="AN447" i="1"/>
  <c r="AH447" i="1"/>
  <c r="CX468" i="1"/>
  <c r="CX469" i="1"/>
  <c r="CX475" i="1"/>
  <c r="X490" i="1"/>
  <c r="CL490" i="1"/>
  <c r="CW490" i="1"/>
  <c r="CX496" i="1"/>
  <c r="CX502" i="1"/>
  <c r="CX508" i="1"/>
  <c r="CX515" i="1"/>
  <c r="CX385" i="1"/>
  <c r="CX386" i="1"/>
  <c r="CX389" i="1"/>
  <c r="CX390" i="1"/>
  <c r="CX400" i="1"/>
  <c r="AN401" i="1"/>
  <c r="BB401" i="1"/>
  <c r="BN401" i="1"/>
  <c r="BZ401" i="1"/>
  <c r="CN401" i="1"/>
  <c r="CX404" i="1"/>
  <c r="CL401" i="1"/>
  <c r="CW406" i="1"/>
  <c r="CX409" i="1"/>
  <c r="CX413" i="1"/>
  <c r="CX416" i="1"/>
  <c r="CX421" i="1"/>
  <c r="CX432" i="1"/>
  <c r="AX431" i="1"/>
  <c r="CL431" i="1"/>
  <c r="CX438" i="1"/>
  <c r="BP437" i="1"/>
  <c r="X437" i="1"/>
  <c r="BL437" i="1"/>
  <c r="BX437" i="1"/>
  <c r="CX441" i="1"/>
  <c r="CX445" i="1"/>
  <c r="AB447" i="1"/>
  <c r="AP447" i="1"/>
  <c r="CW447" i="1"/>
  <c r="CR447" i="1"/>
  <c r="CX453" i="1"/>
  <c r="CX455" i="1"/>
  <c r="CX456" i="1"/>
  <c r="CX459" i="1"/>
  <c r="CX474" i="1"/>
  <c r="CX480" i="1"/>
  <c r="CX481" i="1"/>
  <c r="CX482" i="1"/>
  <c r="CX483" i="1"/>
  <c r="CX484" i="1"/>
  <c r="CX485" i="1"/>
  <c r="CX486" i="1"/>
  <c r="CX487" i="1"/>
  <c r="CX488" i="1"/>
  <c r="CX489" i="1"/>
  <c r="CX500" i="1"/>
  <c r="CX506" i="1"/>
  <c r="CX512" i="1"/>
  <c r="AH431" i="1"/>
  <c r="AL437" i="1"/>
  <c r="BF437" i="1"/>
  <c r="BR437" i="1"/>
  <c r="CD437" i="1"/>
  <c r="CT437" i="1"/>
  <c r="CX473" i="1"/>
  <c r="CX479" i="1"/>
  <c r="CX516" i="1"/>
  <c r="CX24" i="1"/>
  <c r="V34" i="1"/>
  <c r="AV16" i="1"/>
  <c r="CX20" i="1"/>
  <c r="CX39" i="1"/>
  <c r="AH17" i="1"/>
  <c r="CX17" i="1" s="1"/>
  <c r="CW18" i="1"/>
  <c r="CW20" i="1"/>
  <c r="CF23" i="1"/>
  <c r="CX23" i="1" s="1"/>
  <c r="CW36" i="1"/>
  <c r="CW42" i="1"/>
  <c r="CX46" i="1"/>
  <c r="CX54" i="1"/>
  <c r="CX61" i="1"/>
  <c r="CX58" i="1" s="1"/>
  <c r="CX89" i="1"/>
  <c r="T87" i="1"/>
  <c r="T16" i="1"/>
  <c r="CW23" i="1"/>
  <c r="Z26" i="1"/>
  <c r="Z16" i="1" s="1"/>
  <c r="AH28" i="1"/>
  <c r="CX28" i="1" s="1"/>
  <c r="Z35" i="1"/>
  <c r="Z34" i="1" s="1"/>
  <c r="Z38" i="1"/>
  <c r="Z37" i="1" s="1"/>
  <c r="V40" i="1"/>
  <c r="V37" i="1" s="1"/>
  <c r="AL42" i="1"/>
  <c r="AL37" i="1" s="1"/>
  <c r="AH52" i="1"/>
  <c r="AH51" i="1" s="1"/>
  <c r="CL74" i="1"/>
  <c r="CX80" i="1"/>
  <c r="CX83" i="1"/>
  <c r="AF82" i="1"/>
  <c r="AT82" i="1"/>
  <c r="BF82" i="1"/>
  <c r="BR82" i="1"/>
  <c r="CD82" i="1"/>
  <c r="CP82" i="1"/>
  <c r="Z87" i="1"/>
  <c r="CN87" i="1"/>
  <c r="CX90" i="1"/>
  <c r="AH117" i="1"/>
  <c r="CX120" i="1"/>
  <c r="CX180" i="1"/>
  <c r="CX245" i="1"/>
  <c r="CX271" i="1"/>
  <c r="CX276" i="1"/>
  <c r="CE519" i="1"/>
  <c r="AD519" i="1"/>
  <c r="AG16" i="1"/>
  <c r="CW35" i="1"/>
  <c r="CW39" i="1"/>
  <c r="CW52" i="1"/>
  <c r="CW51" i="1" s="1"/>
  <c r="R62" i="1"/>
  <c r="U74" i="1"/>
  <c r="BN74" i="1"/>
  <c r="BZ74" i="1"/>
  <c r="X82" i="1"/>
  <c r="AH82" i="1"/>
  <c r="AV82" i="1"/>
  <c r="BH82" i="1"/>
  <c r="BT82" i="1"/>
  <c r="CF82" i="1"/>
  <c r="CR82" i="1"/>
  <c r="CX92" i="1"/>
  <c r="CX239" i="1"/>
  <c r="CX262" i="1"/>
  <c r="R14" i="1"/>
  <c r="CW38" i="1"/>
  <c r="V58" i="1"/>
  <c r="BB74" i="1"/>
  <c r="BB519" i="1" s="1"/>
  <c r="CX77" i="1"/>
  <c r="V82" i="1"/>
  <c r="CX85" i="1"/>
  <c r="AF122" i="1"/>
  <c r="CX166" i="1"/>
  <c r="CX163" i="1" s="1"/>
  <c r="CX238" i="1"/>
  <c r="CX243" i="1"/>
  <c r="CX248" i="1"/>
  <c r="CX255" i="1"/>
  <c r="CX264" i="1"/>
  <c r="CX267" i="1"/>
  <c r="CX270" i="1"/>
  <c r="AS519" i="1"/>
  <c r="AY519" i="1"/>
  <c r="BE519" i="1"/>
  <c r="BK519" i="1"/>
  <c r="BQ519" i="1"/>
  <c r="BW519" i="1"/>
  <c r="CC519" i="1"/>
  <c r="CO519" i="1"/>
  <c r="CU519" i="1"/>
  <c r="CX50" i="1"/>
  <c r="CR74" i="1"/>
  <c r="CW77" i="1"/>
  <c r="CW74" i="1" s="1"/>
  <c r="CX187" i="1"/>
  <c r="CX233" i="1"/>
  <c r="AJ58" i="1"/>
  <c r="AX58" i="1"/>
  <c r="BJ58" i="1"/>
  <c r="BV58" i="1"/>
  <c r="CH58" i="1"/>
  <c r="CT58" i="1"/>
  <c r="CX81" i="1"/>
  <c r="CX84" i="1"/>
  <c r="CX131" i="1"/>
  <c r="AE87" i="1"/>
  <c r="CX88" i="1"/>
  <c r="CW92" i="1"/>
  <c r="CW87" i="1" s="1"/>
  <c r="CW120" i="1"/>
  <c r="CW117" i="1" s="1"/>
  <c r="CX121" i="1"/>
  <c r="CX156" i="1"/>
  <c r="CX155" i="1" s="1"/>
  <c r="Y167" i="1"/>
  <c r="CW176" i="1"/>
  <c r="CW180" i="1"/>
  <c r="CW219" i="1"/>
  <c r="CW220" i="1"/>
  <c r="CW233" i="1"/>
  <c r="CW237" i="1"/>
  <c r="CW240" i="1"/>
  <c r="CW247" i="1"/>
  <c r="CW254" i="1"/>
  <c r="CW261" i="1"/>
  <c r="CW262" i="1"/>
  <c r="CW266" i="1"/>
  <c r="R302" i="1"/>
  <c r="AF306" i="1"/>
  <c r="CX306" i="1" s="1"/>
  <c r="AE302" i="1"/>
  <c r="CW307" i="1"/>
  <c r="T309" i="1"/>
  <c r="AH309" i="1"/>
  <c r="AV309" i="1"/>
  <c r="BH309" i="1"/>
  <c r="BT309" i="1"/>
  <c r="CF309" i="1"/>
  <c r="CR309" i="1"/>
  <c r="R107" i="1"/>
  <c r="R142" i="1"/>
  <c r="AF145" i="1"/>
  <c r="AF142" i="1" s="1"/>
  <c r="T167" i="1"/>
  <c r="Z177" i="1"/>
  <c r="CX177" i="1" s="1"/>
  <c r="Z181" i="1"/>
  <c r="CX181" i="1" s="1"/>
  <c r="Z202" i="1"/>
  <c r="Z219" i="1"/>
  <c r="Z241" i="1"/>
  <c r="CX241" i="1" s="1"/>
  <c r="CW288" i="1"/>
  <c r="CW287" i="1" s="1"/>
  <c r="AB297" i="1"/>
  <c r="CX300" i="1"/>
  <c r="V309" i="1"/>
  <c r="CW344" i="1"/>
  <c r="CW109" i="1"/>
  <c r="CW207" i="1"/>
  <c r="CX225" i="1"/>
  <c r="CW238" i="1"/>
  <c r="CW245" i="1"/>
  <c r="CW248" i="1"/>
  <c r="CW255" i="1"/>
  <c r="CW263" i="1"/>
  <c r="CW267" i="1"/>
  <c r="CX372" i="1"/>
  <c r="CW108" i="1"/>
  <c r="CX118" i="1"/>
  <c r="AL119" i="1"/>
  <c r="CX119" i="1" s="1"/>
  <c r="Z168" i="1"/>
  <c r="AN171" i="1"/>
  <c r="AN174" i="1"/>
  <c r="CX174" i="1" s="1"/>
  <c r="Z179" i="1"/>
  <c r="CX179" i="1" s="1"/>
  <c r="AN184" i="1"/>
  <c r="CX184" i="1" s="1"/>
  <c r="AN188" i="1"/>
  <c r="CX188" i="1" s="1"/>
  <c r="Z205" i="1"/>
  <c r="CX205" i="1" s="1"/>
  <c r="CX206" i="1"/>
  <c r="Z207" i="1"/>
  <c r="CX207" i="1" s="1"/>
  <c r="CW231" i="1"/>
  <c r="CW235" i="1"/>
  <c r="CW242" i="1"/>
  <c r="Z249" i="1"/>
  <c r="CX249" i="1" s="1"/>
  <c r="CW252" i="1"/>
  <c r="Z256" i="1"/>
  <c r="CX256" i="1" s="1"/>
  <c r="CW270" i="1"/>
  <c r="CW273" i="1"/>
  <c r="CX294" i="1"/>
  <c r="CX299" i="1"/>
  <c r="AT302" i="1"/>
  <c r="AT519" i="1" s="1"/>
  <c r="BF302" i="1"/>
  <c r="BR302" i="1"/>
  <c r="BR519" i="1" s="1"/>
  <c r="CD302" i="1"/>
  <c r="CP302" i="1"/>
  <c r="AL307" i="1"/>
  <c r="AL302" i="1" s="1"/>
  <c r="AK302" i="1"/>
  <c r="Z172" i="1"/>
  <c r="CX172" i="1" s="1"/>
  <c r="Z175" i="1"/>
  <c r="CX175" i="1" s="1"/>
  <c r="AN185" i="1"/>
  <c r="CX185" i="1" s="1"/>
  <c r="Z190" i="1"/>
  <c r="CX190" i="1" s="1"/>
  <c r="Z253" i="1"/>
  <c r="CX253" i="1" s="1"/>
  <c r="CW264" i="1"/>
  <c r="CW268" i="1"/>
  <c r="AH288" i="1"/>
  <c r="AH287" i="1" s="1"/>
  <c r="T302" i="1"/>
  <c r="AH302" i="1"/>
  <c r="AV302" i="1"/>
  <c r="BH302" i="1"/>
  <c r="BT302" i="1"/>
  <c r="CF302" i="1"/>
  <c r="CR302" i="1"/>
  <c r="CX308" i="1"/>
  <c r="CX311" i="1"/>
  <c r="CW350" i="1"/>
  <c r="CX377" i="1"/>
  <c r="V98" i="1"/>
  <c r="V87" i="1" s="1"/>
  <c r="AL115" i="1"/>
  <c r="AL107" i="1" s="1"/>
  <c r="AN186" i="1"/>
  <c r="CX186" i="1" s="1"/>
  <c r="AN192" i="1"/>
  <c r="CX192" i="1" s="1"/>
  <c r="CW200" i="1"/>
  <c r="Z229" i="1"/>
  <c r="CX229" i="1" s="1"/>
  <c r="Z265" i="1"/>
  <c r="CX265" i="1" s="1"/>
  <c r="CW306" i="1"/>
  <c r="CX310" i="1"/>
  <c r="AF307" i="1"/>
  <c r="AF302" i="1" s="1"/>
  <c r="AM314" i="1"/>
  <c r="AM519" i="1" s="1"/>
  <c r="S329" i="1"/>
  <c r="T330" i="1"/>
  <c r="T329" i="1" s="1"/>
  <c r="CX331" i="1"/>
  <c r="CW335" i="1"/>
  <c r="CW329" i="1" s="1"/>
  <c r="AH341" i="1"/>
  <c r="AH329" i="1" s="1"/>
  <c r="Z343" i="1"/>
  <c r="Z329" i="1" s="1"/>
  <c r="AH373" i="1"/>
  <c r="CX373" i="1" s="1"/>
  <c r="CW387" i="1"/>
  <c r="Z387" i="1"/>
  <c r="CX387" i="1" s="1"/>
  <c r="CX412" i="1"/>
  <c r="CX415" i="1"/>
  <c r="Z305" i="1"/>
  <c r="Z302" i="1" s="1"/>
  <c r="AB314" i="1"/>
  <c r="S364" i="1"/>
  <c r="Y364" i="1"/>
  <c r="AX381" i="1"/>
  <c r="CW390" i="1"/>
  <c r="CX440" i="1"/>
  <c r="T437" i="1"/>
  <c r="Z327" i="1"/>
  <c r="Z364" i="1"/>
  <c r="CW369" i="1"/>
  <c r="CW364" i="1" s="1"/>
  <c r="CX388" i="1"/>
  <c r="CX320" i="1"/>
  <c r="CX383" i="1"/>
  <c r="CX465" i="1"/>
  <c r="AK314" i="1"/>
  <c r="AL317" i="1"/>
  <c r="AL314" i="1" s="1"/>
  <c r="Y344" i="1"/>
  <c r="CX384" i="1"/>
  <c r="AL351" i="1"/>
  <c r="AH379" i="1"/>
  <c r="R381" i="1"/>
  <c r="CX382" i="1"/>
  <c r="AF381" i="1"/>
  <c r="T401" i="1"/>
  <c r="AG401" i="1"/>
  <c r="X422" i="1"/>
  <c r="X519" i="1" s="1"/>
  <c r="R431" i="1"/>
  <c r="R447" i="1"/>
  <c r="R490" i="1"/>
  <c r="V401" i="1"/>
  <c r="CW402" i="1"/>
  <c r="CW412" i="1"/>
  <c r="CW415" i="1"/>
  <c r="CX448" i="1"/>
  <c r="CX402" i="1"/>
  <c r="AL458" i="1"/>
  <c r="AL447" i="1" s="1"/>
  <c r="AL397" i="1"/>
  <c r="CX397" i="1" s="1"/>
  <c r="AH410" i="1"/>
  <c r="CX410" i="1" s="1"/>
  <c r="Z417" i="1"/>
  <c r="Z401" i="1" s="1"/>
  <c r="T465" i="1"/>
  <c r="T447" i="1" s="1"/>
  <c r="CX518" i="1"/>
  <c r="CX517" i="1" s="1"/>
  <c r="AL433" i="1"/>
  <c r="AL431" i="1" s="1"/>
  <c r="R437" i="1"/>
  <c r="CX395" i="1" l="1"/>
  <c r="BL519" i="1"/>
  <c r="CX309" i="1"/>
  <c r="U519" i="1"/>
  <c r="BD519" i="1"/>
  <c r="CW122" i="1"/>
  <c r="CW302" i="1"/>
  <c r="AH364" i="1"/>
  <c r="CW437" i="1"/>
  <c r="CJ519" i="1"/>
  <c r="AN364" i="1"/>
  <c r="AL381" i="1"/>
  <c r="AB519" i="1"/>
  <c r="CX437" i="1"/>
  <c r="CX422" i="1"/>
  <c r="CX490" i="1"/>
  <c r="AZ519" i="1"/>
  <c r="CV519" i="1"/>
  <c r="BP519" i="1"/>
  <c r="CB519" i="1"/>
  <c r="BX519" i="1"/>
  <c r="AP519" i="1"/>
  <c r="AV519" i="1"/>
  <c r="AK519" i="1"/>
  <c r="CX122" i="1"/>
  <c r="CX44" i="1"/>
  <c r="AL350" i="1"/>
  <c r="CX297" i="1"/>
  <c r="CX379" i="1"/>
  <c r="CX364" i="1" s="1"/>
  <c r="CL519" i="1"/>
  <c r="CX219" i="1"/>
  <c r="BZ519" i="1"/>
  <c r="BB2" i="1"/>
  <c r="CX433" i="1"/>
  <c r="CX431" i="1" s="1"/>
  <c r="CX74" i="1"/>
  <c r="CP519" i="1"/>
  <c r="CW16" i="1"/>
  <c r="CX42" i="1"/>
  <c r="CX62" i="1"/>
  <c r="CW167" i="1"/>
  <c r="V519" i="1"/>
  <c r="AE519" i="1"/>
  <c r="CX351" i="1"/>
  <c r="CX350" i="1" s="1"/>
  <c r="Y519" i="1"/>
  <c r="S519" i="1"/>
  <c r="CD519" i="1"/>
  <c r="BT519" i="1"/>
  <c r="BN519" i="1"/>
  <c r="BF519" i="1"/>
  <c r="T519" i="1"/>
  <c r="Z381" i="1"/>
  <c r="AN167" i="1"/>
  <c r="CW37" i="1"/>
  <c r="BH519" i="1"/>
  <c r="CN519" i="1"/>
  <c r="CX38" i="1"/>
  <c r="CR519" i="1"/>
  <c r="AG519" i="1"/>
  <c r="CX344" i="1"/>
  <c r="AK3" i="1"/>
  <c r="AF519" i="1"/>
  <c r="CX417" i="1"/>
  <c r="CX401" i="1"/>
  <c r="CX381" i="1"/>
  <c r="AH401" i="1"/>
  <c r="CW381" i="1"/>
  <c r="CX317" i="1"/>
  <c r="CX314" i="1" s="1"/>
  <c r="CW107" i="1"/>
  <c r="AL117" i="1"/>
  <c r="CW34" i="1"/>
  <c r="CT519" i="1"/>
  <c r="CX40" i="1"/>
  <c r="CX307" i="1"/>
  <c r="CX202" i="1"/>
  <c r="CX305" i="1"/>
  <c r="BJ519" i="1"/>
  <c r="CX26" i="1"/>
  <c r="CX16" i="1" s="1"/>
  <c r="CX341" i="1"/>
  <c r="CX343" i="1"/>
  <c r="CX82" i="1"/>
  <c r="CF16" i="1"/>
  <c r="CF519" i="1" s="1"/>
  <c r="CW401" i="1"/>
  <c r="Z167" i="1"/>
  <c r="CX288" i="1"/>
  <c r="CX287" i="1" s="1"/>
  <c r="CX330" i="1"/>
  <c r="CX329" i="1" s="1"/>
  <c r="CX115" i="1"/>
  <c r="CX107" i="1" s="1"/>
  <c r="CX145" i="1"/>
  <c r="CX142" i="1" s="1"/>
  <c r="AJ519" i="1"/>
  <c r="CX168" i="1"/>
  <c r="BV519" i="1"/>
  <c r="CX458" i="1"/>
  <c r="CX447" i="1" s="1"/>
  <c r="CX171" i="1"/>
  <c r="CX117" i="1"/>
  <c r="AY3" i="1"/>
  <c r="R519" i="1"/>
  <c r="CX98" i="1"/>
  <c r="CX87" i="1" s="1"/>
  <c r="AH16" i="1"/>
  <c r="CX52" i="1"/>
  <c r="CX51" i="1" s="1"/>
  <c r="CX35" i="1"/>
  <c r="CX34" i="1" s="1"/>
  <c r="CH519" i="1"/>
  <c r="AX519" i="1"/>
  <c r="Z519" i="1" l="1"/>
  <c r="AZ3" i="1"/>
  <c r="AN519" i="1"/>
  <c r="AL519" i="1"/>
  <c r="CX302" i="1"/>
  <c r="CX167" i="1"/>
  <c r="CW519" i="1"/>
  <c r="AV3" i="1"/>
  <c r="CX37" i="1"/>
  <c r="AL3" i="1"/>
  <c r="AH519" i="1"/>
  <c r="CX519" i="1" l="1"/>
</calcChain>
</file>

<file path=xl/comments1.xml><?xml version="1.0" encoding="utf-8"?>
<comments xmlns="http://schemas.openxmlformats.org/spreadsheetml/2006/main">
  <authors>
    <author>Автор</author>
  </authors>
  <commentList>
    <comment ref="AK1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<sst xmlns="http://schemas.openxmlformats.org/spreadsheetml/2006/main" count="1280" uniqueCount="1160">
  <si>
    <t>Объемы  медицинской помощи в условиях круглосуточного стационара на 2024 год в разрезе  клинико-статистических групп заболеваний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</si>
  <si>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</si>
  <si>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ПЛАН 2024 год (без инокраевых) Решение Комиссии от 30.10.2024 №9</t>
  </si>
  <si>
    <r>
      <t xml:space="preserve">ЧУЗ "Клиническая больница "РЖД-Медицина"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</si>
  <si>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Код  профиля</t>
  </si>
  <si>
    <t>№</t>
  </si>
  <si>
    <t>Код КСГ 2024</t>
  </si>
  <si>
    <t>КПГ / КСГ</t>
  </si>
  <si>
    <t>базовая ставка на 2024  c 01.01.2024</t>
  </si>
  <si>
    <r>
      <t>базовая ставка на 2024  (28004*1,05)</t>
    </r>
    <r>
      <rPr>
        <b/>
        <sz val="10"/>
        <rFont val="Times New Roman"/>
        <family val="1"/>
        <charset val="204"/>
      </rPr>
      <t xml:space="preserve"> с 01.03.2024</t>
    </r>
  </si>
  <si>
    <t>КЗ (коэффициент относительной затратоемкости)c 01.01.2024</t>
  </si>
  <si>
    <t>коэффициент специфики с 01.01.24</t>
  </si>
  <si>
    <t>коэффициент специфики с 01.03.24</t>
  </si>
  <si>
    <t>Дзп 
(доля заработной платы) с 01.01.24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</si>
  <si>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</si>
  <si>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</si>
  <si>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</si>
  <si>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</si>
  <si>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</si>
  <si>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</si>
  <si>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</si>
  <si>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</si>
  <si>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</si>
  <si>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</si>
  <si>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</si>
  <si>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</si>
  <si>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</si>
  <si>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</si>
  <si>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rPr>
        <b/>
        <i/>
        <sz val="11"/>
        <color theme="1"/>
        <rFont val="Times New Roman"/>
        <family val="1"/>
        <charset val="204"/>
      </rPr>
      <t>ФАКТ 8 мес</t>
    </r>
    <r>
      <rPr>
        <i/>
        <sz val="11"/>
        <color theme="1"/>
        <rFont val="Times New Roman"/>
        <family val="1"/>
        <charset val="204"/>
      </rPr>
      <t xml:space="preserve">.
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</si>
  <si>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"Детский клинический центр медицинской реабилитации "Амурский" МЗ ХК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</si>
  <si>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</si>
  <si>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</si>
  <si>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</si>
  <si>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</si>
  <si>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</si>
  <si>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</si>
  <si>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</si>
  <si>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</si>
  <si>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</si>
  <si>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</si>
  <si>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</si>
  <si>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</si>
  <si>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</si>
  <si>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</si>
  <si>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</si>
  <si>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</si>
  <si>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</si>
  <si>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</si>
  <si>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</si>
  <si>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больница" имени А.В. Шульмана МЗ ХК</t>
  </si>
  <si>
    <t>ООО "Медикъ"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</si>
  <si>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</si>
  <si>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</si>
  <si>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 
(факт 4 мес.)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</si>
  <si>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</si>
  <si>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</si>
  <si>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</si>
  <si>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</si>
  <si>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01.01.2024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</si>
  <si>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</si>
  <si>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</si>
  <si>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</si>
  <si>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</si>
  <si>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</si>
  <si>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</si>
  <si>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</si>
  <si>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</si>
  <si>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2141010</t>
  </si>
  <si>
    <t>2144011</t>
  </si>
  <si>
    <t>3141007</t>
  </si>
  <si>
    <t>4346004</t>
  </si>
  <si>
    <t>2223001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</si>
  <si>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</si>
  <si>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</si>
  <si>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</si>
  <si>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</si>
  <si>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</si>
  <si>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</si>
  <si>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</si>
  <si>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</si>
  <si>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</si>
  <si>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</si>
  <si>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</si>
  <si>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</si>
  <si>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</si>
  <si>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</si>
  <si>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</si>
  <si>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</si>
  <si>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</si>
  <si>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</si>
  <si>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</si>
  <si>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</si>
  <si>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</si>
  <si>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</si>
  <si>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</si>
  <si>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</si>
  <si>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</si>
  <si>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</si>
  <si>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</si>
  <si>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</si>
  <si>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</si>
  <si>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</si>
  <si>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</si>
  <si>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</si>
  <si>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</si>
  <si>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</si>
  <si>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</si>
  <si>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</si>
  <si>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</si>
  <si>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</si>
  <si>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</si>
  <si>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</si>
  <si>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01.01.2024</t>
  </si>
  <si>
    <t>КУСмо c 01.03.2024</t>
  </si>
  <si>
    <t>КУСмо c 01.08.2024</t>
  </si>
  <si>
    <t>st01.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</si>
  <si>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</si>
  <si>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</si>
  <si>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</si>
  <si>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st02.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</si>
  <si>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</si>
  <si>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</si>
  <si>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</si>
  <si>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</si>
  <si>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</si>
  <si>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</si>
  <si>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</si>
  <si>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</si>
  <si>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</si>
  <si>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</si>
  <si>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</si>
  <si>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</si>
  <si>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</si>
  <si>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</si>
  <si>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</si>
  <si>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</si>
  <si>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</si>
  <si>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</si>
  <si>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</si>
  <si>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</si>
  <si>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</si>
  <si>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</si>
  <si>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</si>
  <si>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</si>
  <si>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</si>
  <si>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</si>
  <si>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</si>
  <si>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</si>
  <si>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</si>
  <si>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</si>
  <si>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</si>
  <si>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</si>
  <si>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</si>
  <si>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</si>
  <si>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</si>
  <si>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</si>
  <si>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</si>
  <si>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</si>
  <si>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</si>
  <si>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</si>
  <si>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</si>
  <si>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</t>
  </si>
  <si>
    <t>Гастроэнтерология</t>
  </si>
  <si>
    <t>i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</si>
  <si>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</si>
  <si>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</si>
  <si>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</si>
  <si>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</si>
  <si>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</si>
  <si>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</si>
  <si>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</si>
  <si>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</si>
  <si>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</si>
  <si>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</si>
  <si>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</si>
  <si>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</si>
  <si>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</si>
  <si>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</si>
  <si>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</si>
  <si>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</si>
  <si>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</si>
  <si>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</si>
  <si>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</si>
  <si>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</si>
  <si>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</si>
  <si>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</si>
  <si>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</si>
  <si>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</si>
  <si>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</si>
  <si>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</si>
  <si>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</si>
  <si>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</si>
  <si>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</si>
  <si>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</si>
  <si>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</si>
  <si>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</si>
  <si>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</si>
  <si>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</si>
  <si>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</si>
  <si>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</si>
  <si>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</t>
  </si>
  <si>
    <t>Детская кардиология</t>
  </si>
  <si>
    <t>st07.001</t>
  </si>
  <si>
    <t>Врожденные аномалии сердечно-сосудистой системы, дети</t>
  </si>
  <si>
    <t>st08.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</si>
  <si>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</si>
  <si>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</si>
  <si>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</si>
  <si>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</si>
  <si>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</si>
  <si>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</si>
  <si>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</si>
  <si>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st09.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</si>
  <si>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</si>
  <si>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</si>
  <si>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</si>
  <si>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</si>
  <si>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</si>
  <si>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</si>
  <si>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</si>
  <si>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</si>
  <si>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</si>
  <si>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</si>
  <si>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</si>
  <si>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</si>
  <si>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</si>
  <si>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</si>
  <si>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</si>
  <si>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</si>
  <si>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</si>
  <si>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</si>
  <si>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</si>
  <si>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</si>
  <si>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</si>
  <si>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</si>
  <si>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</si>
  <si>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</si>
  <si>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</si>
  <si>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</si>
  <si>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</si>
  <si>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</si>
  <si>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</si>
  <si>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</si>
  <si>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</si>
  <si>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</si>
  <si>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</si>
  <si>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</si>
  <si>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</si>
  <si>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</si>
  <si>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</si>
  <si>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</si>
  <si>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органахх брюшной полости, дети</t>
  </si>
  <si>
    <t>st11.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</si>
  <si>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</si>
  <si>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</si>
  <si>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</si>
  <si>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</si>
  <si>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</si>
  <si>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</si>
  <si>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</si>
  <si>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</si>
  <si>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</si>
  <si>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</si>
  <si>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</si>
  <si>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</si>
  <si>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</si>
  <si>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</si>
  <si>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</si>
  <si>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</si>
  <si>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</si>
  <si>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</si>
  <si>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</si>
  <si>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</si>
  <si>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</si>
  <si>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</si>
  <si>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</si>
  <si>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</si>
  <si>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</si>
  <si>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</si>
  <si>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</si>
  <si>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</si>
  <si>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</si>
  <si>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</si>
  <si>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</si>
  <si>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</si>
  <si>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</si>
  <si>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</si>
  <si>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</si>
  <si>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</si>
  <si>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</si>
  <si>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</si>
  <si>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</si>
  <si>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</si>
  <si>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</si>
  <si>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</si>
  <si>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</si>
  <si>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</si>
  <si>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</si>
  <si>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</si>
  <si>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</si>
  <si>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</si>
  <si>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</si>
  <si>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st13.</t>
  </si>
  <si>
    <t>Кардиология</t>
  </si>
  <si>
    <t>st13.001</t>
  </si>
  <si>
    <t>Нестабильная стенокардия, инфаркт миокарда, легочная эмболия (уровень 1)</t>
  </si>
  <si>
    <t>h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</si>
  <si>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</si>
  <si>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</si>
  <si>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</si>
  <si>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</si>
  <si>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</si>
  <si>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</si>
  <si>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</si>
  <si>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</si>
  <si>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</si>
  <si>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</si>
  <si>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</si>
  <si>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</si>
  <si>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</si>
  <si>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</si>
  <si>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</si>
  <si>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</si>
  <si>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</si>
  <si>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</si>
  <si>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</si>
  <si>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</si>
  <si>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</si>
  <si>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</si>
  <si>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</si>
  <si>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</si>
  <si>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</si>
  <si>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</si>
  <si>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</si>
  <si>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</si>
  <si>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</si>
  <si>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</si>
  <si>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</si>
  <si>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</si>
  <si>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</si>
  <si>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</si>
  <si>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</si>
  <si>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</si>
  <si>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</si>
  <si>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</si>
  <si>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</si>
  <si>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</si>
  <si>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</si>
  <si>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</si>
  <si>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</si>
  <si>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</si>
  <si>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</si>
  <si>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</si>
  <si>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</si>
  <si>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</si>
  <si>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</si>
  <si>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</si>
  <si>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</si>
  <si>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</si>
  <si>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</si>
  <si>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</si>
  <si>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</si>
  <si>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</si>
  <si>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</si>
  <si>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</si>
  <si>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</si>
  <si>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</si>
  <si>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</si>
  <si>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</si>
  <si>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</si>
  <si>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</si>
  <si>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</si>
  <si>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</si>
  <si>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</si>
  <si>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</si>
  <si>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</si>
  <si>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</si>
  <si>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</si>
  <si>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</si>
  <si>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</si>
  <si>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</si>
  <si>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</si>
  <si>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</si>
  <si>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</si>
  <si>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</si>
  <si>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</si>
  <si>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</si>
  <si>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</si>
  <si>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</si>
  <si>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</si>
  <si>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</si>
  <si>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</si>
  <si>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</si>
  <si>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</si>
  <si>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</si>
  <si>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</si>
  <si>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</si>
  <si>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</si>
  <si>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</si>
  <si>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</si>
  <si>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</si>
  <si>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</si>
  <si>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</si>
  <si>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</si>
  <si>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</si>
  <si>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</si>
  <si>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</si>
  <si>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</si>
  <si>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</si>
  <si>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</si>
  <si>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</si>
  <si>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</si>
  <si>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</si>
  <si>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</si>
  <si>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</si>
  <si>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</si>
  <si>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</si>
  <si>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</si>
  <si>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</si>
  <si>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</si>
  <si>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</si>
  <si>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</si>
  <si>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</si>
  <si>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</si>
  <si>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</si>
  <si>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</si>
  <si>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</si>
  <si>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</si>
  <si>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</si>
  <si>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</si>
  <si>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</si>
  <si>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</si>
  <si>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</si>
  <si>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</si>
  <si>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</si>
  <si>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</si>
  <si>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</si>
  <si>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</si>
  <si>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</si>
  <si>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</si>
  <si>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</si>
  <si>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</si>
  <si>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</si>
  <si>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</si>
  <si>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</si>
  <si>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</si>
  <si>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</si>
  <si>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</si>
  <si>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</si>
  <si>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</si>
  <si>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</si>
  <si>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</si>
  <si>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</si>
  <si>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</si>
  <si>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</si>
  <si>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</si>
  <si>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</si>
  <si>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</si>
  <si>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</si>
  <si>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</si>
  <si>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</si>
  <si>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</si>
  <si>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</si>
  <si>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</si>
  <si>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</si>
  <si>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</si>
  <si>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</si>
  <si>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</si>
  <si>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</si>
  <si>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</si>
  <si>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</si>
  <si>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</si>
  <si>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</si>
  <si>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</si>
  <si>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</si>
  <si>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</si>
  <si>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</si>
  <si>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</si>
  <si>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</si>
  <si>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</si>
  <si>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</si>
  <si>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</si>
  <si>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</si>
  <si>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</si>
  <si>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</si>
  <si>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</si>
  <si>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</si>
  <si>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</si>
  <si>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</si>
  <si>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</si>
  <si>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</si>
  <si>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</si>
  <si>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</si>
  <si>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</si>
  <si>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</si>
  <si>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</si>
  <si>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</si>
  <si>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</si>
  <si>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</si>
  <si>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</si>
  <si>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</si>
  <si>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</si>
  <si>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</si>
  <si>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</si>
  <si>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</si>
  <si>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</si>
  <si>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</si>
  <si>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</si>
  <si>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</si>
  <si>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</si>
  <si>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</si>
  <si>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</si>
  <si>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</si>
  <si>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</si>
  <si>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</si>
  <si>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st19.091</t>
  </si>
  <si>
    <r>
      <t>ЗНО лимфоидной и кроветворной тканей без специального противоопухолевого лечения (уровень 2)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</si>
  <si>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st19.092</t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</si>
  <si>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</si>
  <si>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st19.093</t>
  </si>
  <si>
    <r>
      <t>ЗНО лимфоидной и кроветворной тканей без специального противоопухолевого лечения (уровень 4)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</si>
  <si>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</si>
  <si>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</si>
  <si>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</si>
  <si>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</si>
  <si>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</si>
  <si>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</si>
  <si>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</si>
  <si>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</si>
  <si>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</si>
  <si>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</si>
  <si>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</si>
  <si>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</si>
  <si>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</si>
  <si>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</si>
  <si>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</si>
  <si>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</si>
  <si>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</si>
  <si>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</si>
  <si>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</si>
  <si>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</si>
  <si>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</si>
  <si>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</si>
  <si>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</si>
  <si>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</si>
  <si>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</si>
  <si>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</si>
  <si>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</si>
  <si>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</si>
  <si>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197.1</t>
  </si>
  <si>
    <t>st19.145.1</t>
  </si>
  <si>
    <t>(уровень 2) подгр1</t>
  </si>
  <si>
    <t>197.2</t>
  </si>
  <si>
    <t>st19.145.2</t>
  </si>
  <si>
    <t>(уровень 2) подгр2</t>
  </si>
  <si>
    <t>197.3</t>
  </si>
  <si>
    <t>st19.145.3</t>
  </si>
  <si>
    <t>(уровень 2) подгр3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</si>
  <si>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</si>
  <si>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</si>
  <si>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198.1</t>
  </si>
  <si>
    <t>st19.146.1</t>
  </si>
  <si>
    <t>(уровень 3) подгр1</t>
  </si>
  <si>
    <t>198.2</t>
  </si>
  <si>
    <t>st19.146.2</t>
  </si>
  <si>
    <t>(уровень 3) подгр2</t>
  </si>
  <si>
    <t>198.3</t>
  </si>
  <si>
    <t>st19.146.3</t>
  </si>
  <si>
    <t>(уровень 3) подгр3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</si>
  <si>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</si>
  <si>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</si>
  <si>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199.1</t>
  </si>
  <si>
    <t>st19.147.1</t>
  </si>
  <si>
    <t>(уровень 4) подгр1</t>
  </si>
  <si>
    <t>199.2</t>
  </si>
  <si>
    <t>st19.147.2</t>
  </si>
  <si>
    <t>(уровень 4) подгр2</t>
  </si>
  <si>
    <t>199.3</t>
  </si>
  <si>
    <t>st19.147.3</t>
  </si>
  <si>
    <t>(уровень 4) подгр3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</si>
  <si>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</si>
  <si>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</si>
  <si>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200.1</t>
  </si>
  <si>
    <t>st19.148.1</t>
  </si>
  <si>
    <t>(уровень 5) подгр1</t>
  </si>
  <si>
    <t>200.2</t>
  </si>
  <si>
    <t>st19.148.2</t>
  </si>
  <si>
    <t>(уровень 5) подгр2</t>
  </si>
  <si>
    <t>200.3</t>
  </si>
  <si>
    <t>st19.148.3</t>
  </si>
  <si>
    <t>(уровень 5) подгр3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</si>
  <si>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</si>
  <si>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</si>
  <si>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201.1</t>
  </si>
  <si>
    <t>st19.149.1</t>
  </si>
  <si>
    <t>(уровень 6) подгр1</t>
  </si>
  <si>
    <t>201.2</t>
  </si>
  <si>
    <t>st19.149.2</t>
  </si>
  <si>
    <t>(уровень 6) подгр2</t>
  </si>
  <si>
    <t>201.3</t>
  </si>
  <si>
    <t>st19.149.3</t>
  </si>
  <si>
    <t>(уровень 6) подгр3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</si>
  <si>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</si>
  <si>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</si>
  <si>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202.1</t>
  </si>
  <si>
    <t>st19.150.1</t>
  </si>
  <si>
    <t>(уровень 7) подгр1</t>
  </si>
  <si>
    <t>202.2</t>
  </si>
  <si>
    <t>st19.150.2</t>
  </si>
  <si>
    <t>(уровень 7) подгр2</t>
  </si>
  <si>
    <t>202.3</t>
  </si>
  <si>
    <t>st19.150.3</t>
  </si>
  <si>
    <t>(уровень 7) подгр3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</si>
  <si>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</si>
  <si>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</si>
  <si>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203.1</t>
  </si>
  <si>
    <t>st19.151.1</t>
  </si>
  <si>
    <t>(уровень 8) подгр1</t>
  </si>
  <si>
    <t>203.2</t>
  </si>
  <si>
    <t>st19.151.2</t>
  </si>
  <si>
    <t>(уровень 8) подгр2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</si>
  <si>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</si>
  <si>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</si>
  <si>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204.1</t>
  </si>
  <si>
    <t>st19.152.1</t>
  </si>
  <si>
    <t>(уровень 9) подгр1</t>
  </si>
  <si>
    <t>204.2</t>
  </si>
  <si>
    <t>st19.152.2</t>
  </si>
  <si>
    <t>(уровень 9) подгр2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</si>
  <si>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</si>
  <si>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</si>
  <si>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</si>
  <si>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</si>
  <si>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</si>
  <si>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</si>
  <si>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</si>
  <si>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</si>
  <si>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208.1</t>
  </si>
  <si>
    <t>st19.156.1</t>
  </si>
  <si>
    <t>(уровень 13) подгр1</t>
  </si>
  <si>
    <t>208.2</t>
  </si>
  <si>
    <t>st19.156.2</t>
  </si>
  <si>
    <t>(уровень 13) подгр2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</si>
  <si>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</si>
  <si>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</si>
  <si>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</si>
  <si>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</si>
  <si>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210.1</t>
  </si>
  <si>
    <t>st19.158.1</t>
  </si>
  <si>
    <t xml:space="preserve"> (уровень 15) подгр1</t>
  </si>
  <si>
    <t>210.2</t>
  </si>
  <si>
    <t>st19.158.2</t>
  </si>
  <si>
    <t xml:space="preserve"> (уровень 15) подгр2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</si>
  <si>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</si>
  <si>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</si>
  <si>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</si>
  <si>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</si>
  <si>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212.1</t>
  </si>
  <si>
    <t>st19.160.1</t>
  </si>
  <si>
    <t>(уровень 17) подгр 1</t>
  </si>
  <si>
    <t>212.2</t>
  </si>
  <si>
    <t>st19.160.2</t>
  </si>
  <si>
    <t>(уровень 17) подгр 2</t>
  </si>
  <si>
    <t>212.3</t>
  </si>
  <si>
    <t>st19.160.3</t>
  </si>
  <si>
    <t>(уровень 17) подгр 3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</si>
  <si>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</si>
  <si>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</si>
  <si>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</si>
  <si>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</si>
  <si>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</si>
  <si>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</si>
  <si>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</si>
  <si>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</si>
  <si>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</si>
  <si>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</si>
  <si>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</si>
  <si>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</si>
  <si>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</si>
  <si>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</si>
  <si>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</si>
  <si>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</si>
  <si>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</si>
  <si>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</si>
  <si>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</si>
  <si>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</si>
  <si>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</si>
  <si>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</si>
  <si>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</si>
  <si>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</si>
  <si>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</si>
  <si>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</si>
  <si>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st21.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</si>
  <si>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</si>
  <si>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</si>
  <si>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</si>
  <si>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</si>
  <si>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</si>
  <si>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</si>
  <si>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</si>
  <si>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</si>
  <si>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</si>
  <si>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</si>
  <si>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</si>
  <si>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</si>
  <si>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</si>
  <si>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</si>
  <si>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</si>
  <si>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</si>
  <si>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</si>
  <si>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</si>
  <si>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</si>
  <si>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</si>
  <si>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</si>
  <si>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</si>
  <si>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</si>
  <si>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</si>
  <si>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</si>
  <si>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</si>
  <si>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</si>
  <si>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</si>
  <si>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</si>
  <si>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</si>
  <si>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</si>
  <si>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</si>
  <si>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</si>
  <si>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</si>
  <si>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</si>
  <si>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</si>
  <si>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</si>
  <si>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</si>
  <si>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</si>
  <si>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</si>
  <si>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</si>
  <si>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</si>
  <si>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</si>
  <si>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</si>
  <si>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</si>
  <si>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</si>
  <si>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</si>
  <si>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</si>
  <si>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</si>
  <si>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</si>
  <si>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</si>
  <si>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</si>
  <si>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</si>
  <si>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</si>
  <si>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</si>
  <si>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</si>
  <si>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</si>
  <si>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</si>
  <si>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</si>
  <si>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</si>
  <si>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</si>
  <si>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</si>
  <si>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</si>
  <si>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</si>
  <si>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</si>
  <si>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</si>
  <si>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</si>
  <si>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</si>
  <si>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</si>
  <si>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</si>
  <si>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</si>
  <si>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</si>
  <si>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</si>
  <si>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</si>
  <si>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</si>
  <si>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</si>
  <si>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</si>
  <si>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</si>
  <si>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</si>
  <si>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</si>
  <si>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</si>
  <si>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</si>
  <si>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</si>
  <si>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</si>
  <si>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</si>
  <si>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</si>
  <si>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</si>
  <si>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</si>
  <si>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</si>
  <si>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</si>
  <si>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</si>
  <si>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</si>
  <si>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</si>
  <si>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</si>
  <si>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</si>
  <si>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</si>
  <si>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</si>
  <si>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</si>
  <si>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</si>
  <si>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</si>
  <si>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</si>
  <si>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</si>
  <si>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</si>
  <si>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</si>
  <si>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</si>
  <si>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</si>
  <si>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</si>
  <si>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</si>
  <si>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</si>
  <si>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</si>
  <si>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</si>
  <si>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</si>
  <si>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</si>
  <si>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st28.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</si>
  <si>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</si>
  <si>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</si>
  <si>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</si>
  <si>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</si>
  <si>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</si>
  <si>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</si>
  <si>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</si>
  <si>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</si>
  <si>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</si>
  <si>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</si>
  <si>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</si>
  <si>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</si>
  <si>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</si>
  <si>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</si>
  <si>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</si>
  <si>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</si>
  <si>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</si>
  <si>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</si>
  <si>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</si>
  <si>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</si>
  <si>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</si>
  <si>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</si>
  <si>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</si>
  <si>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</si>
  <si>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</si>
  <si>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</si>
  <si>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</si>
  <si>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</si>
  <si>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</si>
  <si>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</si>
  <si>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</si>
  <si>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</si>
  <si>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</si>
  <si>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</si>
  <si>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</si>
  <si>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</si>
  <si>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</si>
  <si>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</si>
  <si>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</si>
  <si>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</si>
  <si>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</si>
  <si>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</si>
  <si>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</si>
  <si>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</si>
  <si>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</si>
  <si>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</si>
  <si>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</si>
  <si>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</si>
  <si>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</si>
  <si>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</si>
  <si>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</si>
  <si>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</si>
  <si>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</si>
  <si>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</si>
  <si>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</si>
  <si>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</si>
  <si>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</si>
  <si>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</si>
  <si>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</si>
  <si>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</si>
  <si>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</si>
  <si>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</si>
  <si>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</si>
  <si>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</si>
  <si>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</si>
  <si>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</si>
  <si>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</si>
  <si>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</si>
  <si>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</si>
  <si>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</si>
  <si>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</si>
  <si>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</si>
  <si>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</si>
  <si>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</si>
  <si>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</si>
  <si>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</si>
  <si>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</si>
  <si>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</si>
  <si>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</si>
  <si>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</si>
  <si>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</si>
  <si>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</si>
  <si>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</si>
  <si>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</si>
  <si>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</si>
  <si>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</si>
  <si>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</si>
  <si>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</si>
  <si>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</si>
  <si>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</si>
  <si>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</si>
  <si>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</si>
  <si>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</si>
  <si>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</si>
  <si>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</si>
  <si>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</si>
  <si>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</si>
  <si>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</si>
  <si>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</si>
  <si>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</si>
  <si>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</si>
  <si>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</si>
  <si>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</si>
  <si>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</si>
  <si>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</si>
  <si>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</si>
  <si>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</si>
  <si>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</si>
  <si>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</si>
  <si>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</si>
  <si>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</si>
  <si>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</si>
  <si>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</si>
  <si>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st32.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</si>
  <si>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</si>
  <si>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</si>
  <si>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</si>
  <si>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</si>
  <si>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</si>
  <si>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</si>
  <si>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</si>
  <si>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</si>
  <si>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</si>
  <si>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</si>
  <si>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</si>
  <si>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</si>
  <si>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</si>
  <si>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</si>
  <si>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</si>
  <si>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</si>
  <si>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</si>
  <si>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</si>
  <si>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</si>
  <si>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</si>
  <si>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</si>
  <si>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</si>
  <si>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</si>
  <si>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</si>
  <si>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</si>
  <si>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</si>
  <si>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</si>
  <si>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</si>
  <si>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</si>
  <si>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</si>
  <si>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</si>
  <si>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</si>
  <si>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</si>
  <si>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</si>
  <si>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</si>
  <si>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</si>
  <si>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</si>
  <si>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</si>
  <si>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</si>
  <si>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</si>
  <si>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</si>
  <si>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</si>
  <si>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</si>
  <si>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</si>
  <si>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</si>
  <si>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</si>
  <si>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</si>
  <si>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</si>
  <si>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</si>
  <si>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</si>
  <si>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</si>
  <si>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</si>
  <si>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</si>
  <si>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</si>
  <si>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</si>
  <si>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</si>
  <si>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</si>
  <si>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</si>
  <si>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</si>
  <si>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st34.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</si>
  <si>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</si>
  <si>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</si>
  <si>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</si>
  <si>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</si>
  <si>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</si>
  <si>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</si>
  <si>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</si>
  <si>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</si>
  <si>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</si>
  <si>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</si>
  <si>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</si>
  <si>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st35.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</si>
  <si>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</si>
  <si>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</si>
  <si>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</si>
  <si>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</si>
  <si>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</si>
  <si>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</si>
  <si>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</si>
  <si>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</si>
  <si>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</si>
  <si>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</si>
  <si>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</si>
  <si>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</si>
  <si>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</si>
  <si>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</si>
  <si>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</si>
  <si>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</si>
  <si>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</si>
  <si>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</si>
  <si>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</si>
  <si>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</si>
  <si>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</si>
  <si>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</si>
  <si>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</si>
  <si>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</si>
  <si>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</si>
  <si>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</si>
  <si>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</si>
  <si>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</si>
  <si>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</si>
  <si>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</si>
  <si>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</si>
  <si>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</si>
  <si>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</si>
  <si>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</si>
  <si>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</si>
  <si>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</si>
  <si>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</si>
  <si>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</si>
  <si>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</si>
  <si>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</si>
  <si>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</si>
  <si>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</si>
  <si>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</si>
  <si>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</si>
  <si>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</si>
  <si>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</si>
  <si>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</si>
  <si>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</si>
  <si>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</si>
  <si>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</si>
  <si>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</si>
  <si>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</si>
  <si>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</si>
  <si>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</si>
  <si>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</si>
  <si>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</si>
  <si>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</si>
  <si>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</si>
  <si>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</si>
  <si>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</si>
  <si>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</si>
  <si>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</si>
  <si>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</si>
  <si>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</si>
  <si>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</si>
  <si>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</si>
  <si>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</si>
  <si>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</si>
  <si>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</si>
  <si>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</si>
  <si>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</si>
  <si>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</si>
  <si>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</si>
  <si>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</si>
  <si>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</si>
  <si>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</si>
  <si>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</si>
  <si>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</si>
  <si>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</si>
  <si>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</si>
  <si>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</si>
  <si>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</si>
  <si>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</si>
  <si>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</si>
  <si>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</si>
  <si>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</si>
  <si>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</si>
  <si>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</si>
  <si>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</si>
  <si>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</si>
  <si>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</si>
  <si>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</si>
  <si>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</si>
  <si>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</si>
  <si>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</si>
  <si>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</si>
  <si>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</si>
  <si>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</si>
  <si>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</si>
  <si>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</si>
  <si>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</si>
  <si>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</si>
  <si>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</si>
  <si>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</si>
  <si>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</si>
  <si>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</si>
  <si>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</si>
  <si>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</si>
  <si>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</si>
  <si>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</si>
  <si>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</si>
  <si>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</si>
  <si>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</si>
  <si>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</si>
  <si>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</si>
  <si>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</si>
  <si>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</si>
  <si>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</si>
  <si>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</si>
  <si>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</si>
  <si>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</si>
  <si>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</si>
  <si>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</si>
  <si>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</si>
  <si>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</si>
  <si>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</si>
  <si>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</si>
  <si>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</si>
  <si>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</si>
  <si>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</si>
  <si>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</si>
  <si>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</si>
  <si>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</si>
  <si>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</si>
  <si>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</si>
  <si>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</si>
  <si>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</si>
  <si>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</si>
  <si>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</si>
  <si>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</si>
  <si>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</si>
  <si>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</si>
  <si>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</si>
  <si>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</si>
  <si>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</si>
  <si>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</si>
  <si>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</si>
  <si>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</si>
  <si>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</si>
  <si>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</si>
  <si>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</si>
  <si>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</si>
  <si>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</si>
  <si>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</si>
  <si>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</si>
  <si>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</si>
  <si>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</si>
  <si>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</si>
  <si>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</si>
  <si>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</t>
  </si>
  <si>
    <t>Гериатрия</t>
  </si>
  <si>
    <t>st38.001</t>
  </si>
  <si>
    <t>Соматические заболевания, осложненные старческой астенией</t>
  </si>
  <si>
    <t>28.12.2024 №12</t>
  </si>
  <si>
    <t xml:space="preserve">ИТОГО </t>
  </si>
  <si>
    <t>к Протоколу заседания Комиссии по разработке ТП ОМС от 27.12.2024  №12</t>
  </si>
  <si>
    <t xml:space="preserve">Приложение №3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</si>
</sst>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0.0"/>
    <numFmt numFmtId="171" formatCode="0.0%"/>
    <numFmt numFmtId="172" formatCode="#,##0.00_ ;\-#,##0.00\ "/>
  </numFmts>
  <fonts count="6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b/>
      <i/>
      <sz val="11"/>
      <color rgb="FFFF0000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Wingdings 3"/>
      <family val="1"/>
      <charset val="2"/>
    </font>
    <font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3">
    <xf numFmtId="0" fontId="0" fillId="0" borderId="0"/>
    <xf numFmtId="167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56" fillId="0" borderId="0"/>
    <xf numFmtId="0" fontId="8" fillId="0" borderId="0"/>
    <xf numFmtId="0" fontId="57" fillId="0" borderId="0"/>
    <xf numFmtId="0" fontId="8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8" fillId="0" borderId="0"/>
    <xf numFmtId="0" fontId="57" fillId="0" borderId="0"/>
    <xf numFmtId="0" fontId="59" fillId="0" borderId="0"/>
    <xf numFmtId="0" fontId="57" fillId="0" borderId="0"/>
    <xf numFmtId="0" fontId="9" fillId="0" borderId="0" applyFill="0" applyBorder="0" applyProtection="0">
      <alignment wrapText="1"/>
      <protection locked="0"/>
    </xf>
    <xf numFmtId="9" fontId="33" fillId="0" borderId="0" applyFont="0" applyFill="0" applyBorder="0" applyAlignment="0" applyProtection="0"/>
    <xf numFmtId="9" fontId="57" fillId="0" borderId="0" quotePrefix="1" applyFont="0" applyFill="0" applyBorder="0" applyAlignment="0">
      <protection locked="0"/>
    </xf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7" fillId="0" borderId="0" quotePrefix="1" applyFont="0" applyFill="0" applyBorder="0" applyAlignment="0">
      <protection locked="0"/>
    </xf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</cellStyleXfs>
  <cellXfs count="355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6" fillId="0" borderId="0" xfId="2" applyFont="1" applyFill="1" applyBorder="1" applyAlignment="1">
      <alignment vertical="top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165" fontId="6" fillId="0" borderId="0" xfId="2" applyNumberFormat="1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4" fontId="4" fillId="0" borderId="0" xfId="0" applyNumberFormat="1" applyFont="1" applyFill="1"/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6" fontId="3" fillId="0" borderId="0" xfId="0" applyNumberFormat="1" applyFont="1" applyFill="1"/>
    <xf numFmtId="4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/>
    <xf numFmtId="166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3" fontId="11" fillId="2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0" fontId="4" fillId="2" borderId="0" xfId="0" applyFont="1" applyFill="1" applyBorder="1" applyAlignment="1"/>
    <xf numFmtId="3" fontId="4" fillId="2" borderId="0" xfId="0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41" fontId="13" fillId="0" borderId="0" xfId="4" applyNumberFormat="1" applyFont="1" applyFill="1" applyBorder="1" applyAlignment="1">
      <alignment horizontal="center" vertical="center" wrapText="1"/>
    </xf>
    <xf numFmtId="3" fontId="13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3" fillId="0" borderId="0" xfId="4" applyNumberFormat="1" applyFont="1" applyFill="1" applyBorder="1" applyAlignment="1">
      <alignment horizontal="center" vertical="center" wrapText="1"/>
    </xf>
    <xf numFmtId="4" fontId="13" fillId="0" borderId="0" xfId="4" applyNumberFormat="1" applyFont="1" applyFill="1" applyBorder="1" applyAlignment="1">
      <alignment horizontal="center" vertical="center" wrapText="1"/>
    </xf>
    <xf numFmtId="168" fontId="13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6" fontId="4" fillId="0" borderId="0" xfId="1" applyNumberFormat="1" applyFont="1" applyFill="1" applyBorder="1" applyAlignment="1"/>
    <xf numFmtId="1" fontId="4" fillId="0" borderId="0" xfId="0" applyNumberFormat="1" applyFont="1" applyFill="1" applyBorder="1" applyAlignment="1"/>
    <xf numFmtId="166" fontId="13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166" fontId="9" fillId="0" borderId="0" xfId="1" applyNumberFormat="1" applyFont="1" applyFill="1" applyBorder="1" applyAlignment="1">
      <alignment horizontal="center" wrapText="1"/>
    </xf>
    <xf numFmtId="0" fontId="14" fillId="0" borderId="0" xfId="4" applyFont="1" applyFill="1" applyBorder="1" applyAlignment="1">
      <alignment vertical="center" wrapText="1"/>
    </xf>
    <xf numFmtId="166" fontId="9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15" fillId="0" borderId="0" xfId="0" applyFont="1" applyFill="1"/>
    <xf numFmtId="0" fontId="16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168" fontId="11" fillId="0" borderId="0" xfId="1" applyNumberFormat="1" applyFont="1" applyFill="1" applyBorder="1" applyAlignment="1"/>
    <xf numFmtId="0" fontId="10" fillId="0" borderId="0" xfId="0" applyFont="1" applyFill="1" applyBorder="1" applyAlignment="1">
      <alignment horizontal="center"/>
    </xf>
    <xf numFmtId="0" fontId="18" fillId="0" borderId="0" xfId="0" applyFont="1" applyFill="1"/>
    <xf numFmtId="0" fontId="22" fillId="0" borderId="5" xfId="3" applyNumberFormat="1" applyFont="1" applyFill="1" applyBorder="1" applyAlignment="1">
      <alignment horizontal="center" vertical="center" wrapText="1"/>
    </xf>
    <xf numFmtId="0" fontId="22" fillId="0" borderId="6" xfId="3" applyNumberFormat="1" applyFont="1" applyFill="1" applyBorder="1" applyAlignment="1">
      <alignment horizontal="center" vertical="center" wrapText="1"/>
    </xf>
    <xf numFmtId="0" fontId="23" fillId="0" borderId="6" xfId="3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/>
    <xf numFmtId="49" fontId="23" fillId="0" borderId="6" xfId="4" applyNumberFormat="1" applyFont="1" applyFill="1" applyBorder="1" applyAlignment="1">
      <alignment horizontal="center" vertical="center" wrapText="1"/>
    </xf>
    <xf numFmtId="0" fontId="18" fillId="0" borderId="2" xfId="0" applyFont="1" applyFill="1" applyBorder="1"/>
    <xf numFmtId="1" fontId="23" fillId="7" borderId="11" xfId="4" applyNumberFormat="1" applyFont="1" applyFill="1" applyBorder="1" applyAlignment="1">
      <alignment vertical="center" wrapText="1"/>
    </xf>
    <xf numFmtId="1" fontId="11" fillId="7" borderId="2" xfId="4" applyNumberFormat="1" applyFont="1" applyFill="1" applyBorder="1" applyAlignment="1">
      <alignment vertical="center" wrapText="1"/>
    </xf>
    <xf numFmtId="1" fontId="11" fillId="7" borderId="11" xfId="4" applyNumberFormat="1" applyFont="1" applyFill="1" applyBorder="1" applyAlignment="1">
      <alignment vertical="center" wrapText="1"/>
    </xf>
    <xf numFmtId="1" fontId="23" fillId="7" borderId="8" xfId="4" applyNumberFormat="1" applyFont="1" applyFill="1" applyBorder="1" applyAlignment="1">
      <alignment vertical="center" wrapText="1"/>
    </xf>
    <xf numFmtId="1" fontId="27" fillId="0" borderId="2" xfId="3" applyNumberFormat="1" applyFont="1" applyFill="1" applyBorder="1" applyAlignment="1">
      <alignment horizontal="center" vertical="center" wrapText="1"/>
    </xf>
    <xf numFmtId="1" fontId="27" fillId="0" borderId="5" xfId="3" applyNumberFormat="1" applyFont="1" applyFill="1" applyBorder="1" applyAlignment="1">
      <alignment horizontal="center" vertical="center" wrapText="1"/>
    </xf>
    <xf numFmtId="1" fontId="27" fillId="0" borderId="3" xfId="3" applyNumberFormat="1" applyFont="1" applyFill="1" applyBorder="1" applyAlignment="1">
      <alignment horizontal="center" vertical="center" wrapText="1"/>
    </xf>
    <xf numFmtId="1" fontId="28" fillId="0" borderId="2" xfId="4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0" fillId="0" borderId="14" xfId="0" applyFill="1" applyBorder="1" applyAlignment="1">
      <alignment horizontal="center" vertical="center"/>
    </xf>
    <xf numFmtId="0" fontId="19" fillId="0" borderId="3" xfId="4" applyFont="1" applyFill="1" applyBorder="1" applyAlignment="1">
      <alignment horizontal="center" vertical="center" wrapText="1"/>
    </xf>
    <xf numFmtId="165" fontId="19" fillId="0" borderId="3" xfId="3" applyNumberFormat="1" applyFont="1" applyFill="1" applyBorder="1" applyAlignment="1">
      <alignment horizontal="center" vertical="center" wrapText="1"/>
    </xf>
    <xf numFmtId="165" fontId="19" fillId="0" borderId="14" xfId="3" applyNumberFormat="1" applyFont="1" applyFill="1" applyBorder="1" applyAlignment="1">
      <alignment horizontal="center" vertical="center" wrapText="1"/>
    </xf>
    <xf numFmtId="164" fontId="19" fillId="0" borderId="12" xfId="3" applyNumberFormat="1" applyFont="1" applyFill="1" applyBorder="1" applyAlignment="1">
      <alignment horizontal="center" vertical="center" wrapText="1"/>
    </xf>
    <xf numFmtId="164" fontId="19" fillId="0" borderId="14" xfId="3" applyNumberFormat="1" applyFont="1" applyFill="1" applyBorder="1" applyAlignment="1">
      <alignment horizontal="center" vertical="center" wrapText="1"/>
    </xf>
    <xf numFmtId="164" fontId="19" fillId="0" borderId="3" xfId="3" applyNumberFormat="1" applyFont="1" applyFill="1" applyBorder="1" applyAlignment="1">
      <alignment horizontal="center" vertical="center" wrapText="1"/>
    </xf>
    <xf numFmtId="164" fontId="19" fillId="0" borderId="6" xfId="3" applyNumberFormat="1" applyFont="1" applyFill="1" applyBorder="1" applyAlignment="1">
      <alignment horizontal="center" vertical="center" wrapText="1"/>
    </xf>
    <xf numFmtId="1" fontId="12" fillId="0" borderId="2" xfId="4" applyNumberFormat="1" applyFont="1" applyFill="1" applyBorder="1" applyAlignment="1">
      <alignment horizontal="center" vertical="center" wrapText="1"/>
    </xf>
    <xf numFmtId="169" fontId="12" fillId="0" borderId="2" xfId="4" applyNumberFormat="1" applyFont="1" applyFill="1" applyBorder="1" applyAlignment="1">
      <alignment horizontal="center" vertical="center" wrapText="1"/>
    </xf>
    <xf numFmtId="169" fontId="12" fillId="0" borderId="5" xfId="4" applyNumberFormat="1" applyFont="1" applyFill="1" applyBorder="1" applyAlignment="1">
      <alignment horizontal="center" vertical="center" wrapText="1"/>
    </xf>
    <xf numFmtId="169" fontId="11" fillId="0" borderId="2" xfId="4" applyNumberFormat="1" applyFont="1" applyFill="1" applyBorder="1" applyAlignment="1">
      <alignment horizontal="center" vertical="center" wrapText="1"/>
    </xf>
    <xf numFmtId="169" fontId="11" fillId="0" borderId="3" xfId="4" applyNumberFormat="1" applyFont="1" applyFill="1" applyBorder="1" applyAlignment="1">
      <alignment horizontal="center" vertical="center" wrapText="1"/>
    </xf>
    <xf numFmtId="1" fontId="12" fillId="0" borderId="14" xfId="4" applyNumberFormat="1" applyFont="1" applyFill="1" applyBorder="1" applyAlignment="1">
      <alignment horizontal="center" vertical="center" wrapText="1"/>
    </xf>
    <xf numFmtId="169" fontId="12" fillId="0" borderId="12" xfId="4" applyNumberFormat="1" applyFont="1" applyFill="1" applyBorder="1" applyAlignment="1">
      <alignment horizontal="center" vertical="center" wrapText="1"/>
    </xf>
    <xf numFmtId="169" fontId="12" fillId="0" borderId="13" xfId="4" applyNumberFormat="1" applyFont="1" applyFill="1" applyBorder="1" applyAlignment="1">
      <alignment horizontal="center" vertical="center" wrapText="1"/>
    </xf>
    <xf numFmtId="169" fontId="11" fillId="0" borderId="14" xfId="4" applyNumberFormat="1" applyFont="1" applyFill="1" applyBorder="1" applyAlignment="1">
      <alignment horizontal="center" vertical="center" wrapText="1"/>
    </xf>
    <xf numFmtId="169" fontId="12" fillId="0" borderId="15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8" fillId="7" borderId="3" xfId="3" applyFont="1" applyFill="1" applyBorder="1" applyAlignment="1">
      <alignment horizontal="center" vertical="center"/>
    </xf>
    <xf numFmtId="0" fontId="13" fillId="7" borderId="3" xfId="4" applyFont="1" applyFill="1" applyBorder="1" applyAlignment="1">
      <alignment horizontal="left" vertical="center"/>
    </xf>
    <xf numFmtId="0" fontId="19" fillId="7" borderId="3" xfId="4" applyFont="1" applyFill="1" applyBorder="1" applyAlignment="1">
      <alignment vertical="center" wrapText="1"/>
    </xf>
    <xf numFmtId="168" fontId="30" fillId="0" borderId="3" xfId="1" applyNumberFormat="1" applyFont="1" applyFill="1" applyBorder="1" applyAlignment="1">
      <alignment vertical="center" wrapText="1"/>
    </xf>
    <xf numFmtId="168" fontId="30" fillId="0" borderId="14" xfId="1" applyNumberFormat="1" applyFont="1" applyFill="1" applyBorder="1" applyAlignment="1">
      <alignment vertical="center" wrapText="1"/>
    </xf>
    <xf numFmtId="164" fontId="19" fillId="7" borderId="12" xfId="3" applyNumberFormat="1" applyFont="1" applyFill="1" applyBorder="1" applyAlignment="1">
      <alignment horizontal="center" vertical="center" wrapText="1"/>
    </xf>
    <xf numFmtId="167" fontId="19" fillId="0" borderId="12" xfId="1" applyFont="1" applyFill="1" applyBorder="1" applyAlignment="1">
      <alignment vertical="center" wrapText="1"/>
    </xf>
    <xf numFmtId="167" fontId="19" fillId="0" borderId="14" xfId="1" applyFont="1" applyFill="1" applyBorder="1" applyAlignment="1">
      <alignment vertical="center" wrapText="1"/>
    </xf>
    <xf numFmtId="0" fontId="3" fillId="0" borderId="2" xfId="0" applyFont="1" applyFill="1" applyBorder="1"/>
    <xf numFmtId="164" fontId="19" fillId="7" borderId="3" xfId="3" applyNumberFormat="1" applyFont="1" applyFill="1" applyBorder="1" applyAlignment="1">
      <alignment horizontal="center" vertical="center" wrapText="1"/>
    </xf>
    <xf numFmtId="164" fontId="19" fillId="7" borderId="6" xfId="3" applyNumberFormat="1" applyFont="1" applyFill="1" applyBorder="1" applyAlignment="1">
      <alignment horizontal="center" vertical="center" wrapText="1"/>
    </xf>
    <xf numFmtId="165" fontId="19" fillId="7" borderId="2" xfId="5" applyNumberFormat="1" applyFont="1" applyFill="1" applyBorder="1" applyAlignment="1">
      <alignment horizontal="center" vertical="center" wrapText="1"/>
    </xf>
    <xf numFmtId="165" fontId="19" fillId="7" borderId="2" xfId="4" applyNumberFormat="1" applyFont="1" applyFill="1" applyBorder="1" applyAlignment="1">
      <alignment horizontal="center" vertical="center" wrapText="1"/>
    </xf>
    <xf numFmtId="165" fontId="19" fillId="7" borderId="5" xfId="4" applyNumberFormat="1" applyFont="1" applyFill="1" applyBorder="1" applyAlignment="1">
      <alignment horizontal="center" vertical="center" wrapText="1"/>
    </xf>
    <xf numFmtId="165" fontId="19" fillId="7" borderId="3" xfId="4" applyNumberFormat="1" applyFont="1" applyFill="1" applyBorder="1" applyAlignment="1">
      <alignment horizontal="center" vertical="center" wrapText="1"/>
    </xf>
    <xf numFmtId="2" fontId="30" fillId="0" borderId="2" xfId="0" applyNumberFormat="1" applyFont="1" applyFill="1" applyBorder="1" applyAlignment="1">
      <alignment horizontal="center" vertical="center" wrapText="1"/>
    </xf>
    <xf numFmtId="2" fontId="30" fillId="0" borderId="3" xfId="0" applyNumberFormat="1" applyFont="1" applyFill="1" applyBorder="1" applyAlignment="1">
      <alignment horizontal="center" vertical="center" wrapText="1"/>
    </xf>
    <xf numFmtId="0" fontId="4" fillId="7" borderId="2" xfId="0" applyFont="1" applyFill="1" applyBorder="1"/>
    <xf numFmtId="2" fontId="32" fillId="0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/>
    <xf numFmtId="4" fontId="30" fillId="7" borderId="3" xfId="3" applyNumberFormat="1" applyFont="1" applyFill="1" applyBorder="1" applyAlignment="1">
      <alignment horizontal="center" vertical="center" wrapText="1"/>
    </xf>
    <xf numFmtId="4" fontId="30" fillId="7" borderId="6" xfId="3" applyNumberFormat="1" applyFont="1" applyFill="1" applyBorder="1" applyAlignment="1">
      <alignment horizontal="center" vertical="center" wrapText="1"/>
    </xf>
    <xf numFmtId="41" fontId="19" fillId="7" borderId="2" xfId="4" applyNumberFormat="1" applyFont="1" applyFill="1" applyBorder="1" applyAlignment="1">
      <alignment horizontal="center" vertical="center" wrapText="1"/>
    </xf>
    <xf numFmtId="41" fontId="19" fillId="7" borderId="5" xfId="4" applyNumberFormat="1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30" fillId="0" borderId="3" xfId="4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center" vertical="center" wrapText="1"/>
    </xf>
    <xf numFmtId="4" fontId="30" fillId="0" borderId="3" xfId="3" applyNumberFormat="1" applyFont="1" applyFill="1" applyBorder="1" applyAlignment="1">
      <alignment horizontal="center" vertical="center" wrapText="1"/>
    </xf>
    <xf numFmtId="4" fontId="30" fillId="0" borderId="6" xfId="3" applyNumberFormat="1" applyFont="1" applyFill="1" applyBorder="1" applyAlignment="1">
      <alignment horizontal="center" vertical="center" wrapText="1"/>
    </xf>
    <xf numFmtId="165" fontId="30" fillId="0" borderId="2" xfId="5" applyNumberFormat="1" applyFont="1" applyFill="1" applyBorder="1" applyAlignment="1">
      <alignment horizontal="center" vertical="center" wrapText="1"/>
    </xf>
    <xf numFmtId="165" fontId="30" fillId="0" borderId="2" xfId="4" applyNumberFormat="1" applyFont="1" applyFill="1" applyBorder="1" applyAlignment="1">
      <alignment horizontal="center" vertical="center" wrapText="1"/>
    </xf>
    <xf numFmtId="41" fontId="30" fillId="0" borderId="2" xfId="4" applyNumberFormat="1" applyFont="1" applyFill="1" applyBorder="1" applyAlignment="1">
      <alignment horizontal="center" vertical="center" wrapText="1"/>
    </xf>
    <xf numFmtId="41" fontId="30" fillId="0" borderId="5" xfId="4" applyNumberFormat="1" applyFont="1" applyFill="1" applyBorder="1" applyAlignment="1">
      <alignment horizontal="center" vertical="center" wrapText="1"/>
    </xf>
    <xf numFmtId="165" fontId="30" fillId="0" borderId="2" xfId="3" applyNumberFormat="1" applyFont="1" applyFill="1" applyBorder="1" applyAlignment="1">
      <alignment horizontal="center" vertical="center" wrapText="1"/>
    </xf>
    <xf numFmtId="165" fontId="30" fillId="0" borderId="5" xfId="4" applyNumberFormat="1" applyFont="1" applyFill="1" applyBorder="1" applyAlignment="1">
      <alignment horizontal="center" vertical="center" wrapText="1"/>
    </xf>
    <xf numFmtId="168" fontId="30" fillId="0" borderId="3" xfId="4" applyNumberFormat="1" applyFont="1" applyFill="1" applyBorder="1" applyAlignment="1">
      <alignment vertical="center" wrapText="1"/>
    </xf>
    <xf numFmtId="165" fontId="30" fillId="0" borderId="12" xfId="6" applyNumberFormat="1" applyFont="1" applyFill="1" applyBorder="1" applyAlignment="1">
      <alignment horizontal="center" vertical="center" wrapText="1"/>
    </xf>
    <xf numFmtId="165" fontId="30" fillId="0" borderId="3" xfId="4" applyNumberFormat="1" applyFont="1" applyFill="1" applyBorder="1" applyAlignment="1">
      <alignment horizontal="center" vertical="center" wrapText="1"/>
    </xf>
    <xf numFmtId="165" fontId="30" fillId="0" borderId="2" xfId="4" applyNumberFormat="1" applyFont="1" applyBorder="1" applyAlignment="1">
      <alignment horizontal="center" vertical="center" wrapText="1"/>
    </xf>
    <xf numFmtId="165" fontId="30" fillId="0" borderId="2" xfId="6" applyNumberFormat="1" applyFont="1" applyFill="1" applyBorder="1" applyAlignment="1">
      <alignment horizontal="center" vertical="center" wrapText="1"/>
    </xf>
    <xf numFmtId="165" fontId="30" fillId="0" borderId="5" xfId="3" applyNumberFormat="1" applyFont="1" applyFill="1" applyBorder="1" applyAlignment="1">
      <alignment horizontal="center" vertical="center" wrapText="1"/>
    </xf>
    <xf numFmtId="165" fontId="34" fillId="0" borderId="5" xfId="4" applyNumberFormat="1" applyFont="1" applyFill="1" applyBorder="1" applyAlignment="1">
      <alignment horizontal="center" vertical="center" wrapText="1"/>
    </xf>
    <xf numFmtId="165" fontId="30" fillId="0" borderId="12" xfId="4" applyNumberFormat="1" applyFont="1" applyFill="1" applyBorder="1" applyAlignment="1">
      <alignment horizontal="center" vertical="center" wrapText="1"/>
    </xf>
    <xf numFmtId="165" fontId="30" fillId="0" borderId="12" xfId="3" applyNumberFormat="1" applyFont="1" applyFill="1" applyBorder="1" applyAlignment="1">
      <alignment horizontal="center" vertical="center" wrapText="1"/>
    </xf>
    <xf numFmtId="168" fontId="30" fillId="0" borderId="2" xfId="4" applyNumberFormat="1" applyFont="1" applyFill="1" applyBorder="1" applyAlignment="1">
      <alignment horizontal="right" vertical="center" wrapText="1"/>
    </xf>
    <xf numFmtId="168" fontId="30" fillId="0" borderId="3" xfId="4" applyNumberFormat="1" applyFont="1" applyFill="1" applyBorder="1" applyAlignment="1">
      <alignment horizontal="right" vertical="center" wrapText="1"/>
    </xf>
    <xf numFmtId="0" fontId="35" fillId="0" borderId="0" xfId="0" applyFont="1" applyFill="1"/>
    <xf numFmtId="3" fontId="30" fillId="0" borderId="2" xfId="4" applyNumberFormat="1" applyFont="1" applyFill="1" applyBorder="1" applyAlignment="1">
      <alignment horizontal="right" vertical="center" wrapText="1"/>
    </xf>
    <xf numFmtId="0" fontId="30" fillId="0" borderId="2" xfId="4" applyNumberFormat="1" applyFont="1" applyFill="1" applyBorder="1" applyAlignment="1">
      <alignment horizontal="right" vertical="center" wrapText="1"/>
    </xf>
    <xf numFmtId="10" fontId="36" fillId="0" borderId="2" xfId="0" applyNumberFormat="1" applyFont="1" applyFill="1" applyBorder="1"/>
    <xf numFmtId="165" fontId="37" fillId="0" borderId="2" xfId="4" applyNumberFormat="1" applyFont="1" applyFill="1" applyBorder="1" applyAlignment="1">
      <alignment horizontal="center" vertical="center" wrapText="1"/>
    </xf>
    <xf numFmtId="41" fontId="37" fillId="0" borderId="5" xfId="4" applyNumberFormat="1" applyFont="1" applyFill="1" applyBorder="1" applyAlignment="1">
      <alignment horizontal="center" vertical="center" wrapText="1"/>
    </xf>
    <xf numFmtId="165" fontId="37" fillId="0" borderId="12" xfId="4" applyNumberFormat="1" applyFont="1" applyFill="1" applyBorder="1" applyAlignment="1">
      <alignment horizontal="center" vertical="center" wrapText="1"/>
    </xf>
    <xf numFmtId="165" fontId="37" fillId="0" borderId="2" xfId="3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left" vertical="center"/>
    </xf>
    <xf numFmtId="0" fontId="38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7" borderId="3" xfId="3" applyFont="1" applyFill="1" applyBorder="1" applyAlignment="1">
      <alignment horizontal="center" vertical="center"/>
    </xf>
    <xf numFmtId="4" fontId="19" fillId="7" borderId="3" xfId="3" applyNumberFormat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5" fontId="40" fillId="0" borderId="2" xfId="4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2" fontId="19" fillId="0" borderId="2" xfId="0" applyNumberFormat="1" applyFont="1" applyFill="1" applyBorder="1" applyAlignment="1">
      <alignment horizontal="center" vertical="center" wrapText="1"/>
    </xf>
    <xf numFmtId="41" fontId="37" fillId="0" borderId="2" xfId="4" applyNumberFormat="1" applyFont="1" applyFill="1" applyBorder="1" applyAlignment="1">
      <alignment horizontal="center" vertical="center" wrapText="1"/>
    </xf>
    <xf numFmtId="165" fontId="37" fillId="0" borderId="5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/>
    <xf numFmtId="0" fontId="30" fillId="0" borderId="3" xfId="3" applyFont="1" applyFill="1" applyBorder="1" applyAlignment="1">
      <alignment vertical="center" wrapText="1"/>
    </xf>
    <xf numFmtId="0" fontId="38" fillId="0" borderId="2" xfId="0" applyNumberFormat="1" applyFont="1" applyFill="1" applyBorder="1" applyAlignment="1">
      <alignment horizontal="center" vertical="center" wrapText="1"/>
    </xf>
    <xf numFmtId="10" fontId="42" fillId="0" borderId="2" xfId="0" applyNumberFormat="1" applyFont="1" applyFill="1" applyBorder="1"/>
    <xf numFmtId="0" fontId="19" fillId="7" borderId="3" xfId="3" applyFont="1" applyFill="1" applyBorder="1" applyAlignment="1">
      <alignment vertical="center" wrapText="1"/>
    </xf>
    <xf numFmtId="10" fontId="43" fillId="0" borderId="2" xfId="0" applyNumberFormat="1" applyFont="1" applyFill="1" applyBorder="1"/>
    <xf numFmtId="2" fontId="30" fillId="7" borderId="2" xfId="0" applyNumberFormat="1" applyFont="1" applyFill="1" applyBorder="1" applyAlignment="1">
      <alignment horizontal="center" vertical="center" wrapText="1"/>
    </xf>
    <xf numFmtId="165" fontId="19" fillId="8" borderId="2" xfId="4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4" xfId="0" applyFont="1" applyFill="1" applyBorder="1"/>
    <xf numFmtId="0" fontId="30" fillId="0" borderId="16" xfId="3" applyFont="1" applyFill="1" applyBorder="1" applyAlignment="1">
      <alignment vertical="center" wrapText="1"/>
    </xf>
    <xf numFmtId="0" fontId="30" fillId="0" borderId="4" xfId="0" applyFont="1" applyFill="1" applyBorder="1" applyAlignment="1">
      <alignment horizontal="center" vertical="center" wrapText="1"/>
    </xf>
    <xf numFmtId="2" fontId="30" fillId="0" borderId="4" xfId="0" applyNumberFormat="1" applyFont="1" applyFill="1" applyBorder="1" applyAlignment="1">
      <alignment horizontal="center" vertical="center" wrapText="1"/>
    </xf>
    <xf numFmtId="2" fontId="30" fillId="0" borderId="16" xfId="0" applyNumberFormat="1" applyFont="1" applyFill="1" applyBorder="1" applyAlignment="1">
      <alignment horizontal="center" vertical="center" wrapText="1"/>
    </xf>
    <xf numFmtId="4" fontId="30" fillId="0" borderId="16" xfId="3" applyNumberFormat="1" applyFont="1" applyFill="1" applyBorder="1" applyAlignment="1">
      <alignment horizontal="center" vertical="center" wrapText="1"/>
    </xf>
    <xf numFmtId="4" fontId="30" fillId="0" borderId="11" xfId="3" applyNumberFormat="1" applyFont="1" applyFill="1" applyBorder="1" applyAlignment="1">
      <alignment horizontal="center" vertical="center" wrapText="1"/>
    </xf>
    <xf numFmtId="165" fontId="30" fillId="0" borderId="4" xfId="5" applyNumberFormat="1" applyFont="1" applyFill="1" applyBorder="1" applyAlignment="1">
      <alignment horizontal="center" vertical="center" wrapText="1"/>
    </xf>
    <xf numFmtId="41" fontId="30" fillId="0" borderId="4" xfId="4" applyNumberFormat="1" applyFont="1" applyFill="1" applyBorder="1" applyAlignment="1">
      <alignment horizontal="center" vertical="center" wrapText="1"/>
    </xf>
    <xf numFmtId="165" fontId="30" fillId="0" borderId="4" xfId="4" applyNumberFormat="1" applyFont="1" applyFill="1" applyBorder="1" applyAlignment="1">
      <alignment horizontal="center" vertical="center" wrapText="1"/>
    </xf>
    <xf numFmtId="165" fontId="30" fillId="0" borderId="7" xfId="4" applyNumberFormat="1" applyFont="1" applyFill="1" applyBorder="1" applyAlignment="1">
      <alignment horizontal="center" vertical="center" wrapText="1"/>
    </xf>
    <xf numFmtId="165" fontId="30" fillId="0" borderId="4" xfId="6" applyNumberFormat="1" applyFont="1" applyFill="1" applyBorder="1" applyAlignment="1">
      <alignment horizontal="center" vertical="center" wrapText="1"/>
    </xf>
    <xf numFmtId="165" fontId="30" fillId="0" borderId="8" xfId="4" applyNumberFormat="1" applyFont="1" applyFill="1" applyBorder="1" applyAlignment="1">
      <alignment horizontal="center" vertical="center" wrapText="1"/>
    </xf>
    <xf numFmtId="165" fontId="30" fillId="0" borderId="16" xfId="4" applyNumberFormat="1" applyFont="1" applyFill="1" applyBorder="1" applyAlignment="1">
      <alignment horizontal="center" vertical="center" wrapText="1"/>
    </xf>
    <xf numFmtId="0" fontId="41" fillId="0" borderId="2" xfId="0" applyFont="1" applyFill="1" applyBorder="1"/>
    <xf numFmtId="0" fontId="30" fillId="0" borderId="2" xfId="3" applyFont="1" applyFill="1" applyBorder="1" applyAlignment="1">
      <alignment vertical="center" wrapText="1"/>
    </xf>
    <xf numFmtId="4" fontId="30" fillId="0" borderId="2" xfId="3" applyNumberFormat="1" applyFont="1" applyFill="1" applyBorder="1" applyAlignment="1">
      <alignment horizontal="center" vertical="center" wrapText="1"/>
    </xf>
    <xf numFmtId="0" fontId="3" fillId="0" borderId="17" xfId="0" applyFont="1" applyFill="1" applyBorder="1"/>
    <xf numFmtId="0" fontId="4" fillId="0" borderId="12" xfId="0" applyFont="1" applyFill="1" applyBorder="1"/>
    <xf numFmtId="0" fontId="30" fillId="0" borderId="14" xfId="3" applyFont="1" applyFill="1" applyBorder="1" applyAlignment="1">
      <alignment vertical="center" wrapText="1"/>
    </xf>
    <xf numFmtId="0" fontId="30" fillId="0" borderId="12" xfId="0" applyFont="1" applyFill="1" applyBorder="1" applyAlignment="1">
      <alignment horizontal="center" vertical="center" wrapText="1"/>
    </xf>
    <xf numFmtId="2" fontId="30" fillId="0" borderId="14" xfId="0" applyNumberFormat="1" applyFont="1" applyFill="1" applyBorder="1" applyAlignment="1">
      <alignment horizontal="center" vertical="center" wrapText="1"/>
    </xf>
    <xf numFmtId="4" fontId="30" fillId="0" borderId="14" xfId="3" applyNumberFormat="1" applyFont="1" applyFill="1" applyBorder="1" applyAlignment="1">
      <alignment horizontal="center" vertical="center" wrapText="1"/>
    </xf>
    <xf numFmtId="4" fontId="30" fillId="0" borderId="15" xfId="3" applyNumberFormat="1" applyFont="1" applyFill="1" applyBorder="1" applyAlignment="1">
      <alignment horizontal="center" vertical="center" wrapText="1"/>
    </xf>
    <xf numFmtId="165" fontId="30" fillId="0" borderId="12" xfId="5" applyNumberFormat="1" applyFont="1" applyFill="1" applyBorder="1" applyAlignment="1">
      <alignment horizontal="center" vertical="center" wrapText="1"/>
    </xf>
    <xf numFmtId="41" fontId="30" fillId="0" borderId="12" xfId="4" applyNumberFormat="1" applyFont="1" applyFill="1" applyBorder="1" applyAlignment="1">
      <alignment horizontal="center" vertical="center" wrapText="1"/>
    </xf>
    <xf numFmtId="165" fontId="30" fillId="0" borderId="14" xfId="4" applyNumberFormat="1" applyFont="1" applyFill="1" applyBorder="1" applyAlignment="1">
      <alignment horizontal="center" vertical="center" wrapText="1"/>
    </xf>
    <xf numFmtId="165" fontId="30" fillId="0" borderId="13" xfId="4" applyNumberFormat="1" applyFont="1" applyFill="1" applyBorder="1" applyAlignment="1">
      <alignment horizontal="center" vertical="center" wrapText="1"/>
    </xf>
    <xf numFmtId="170" fontId="30" fillId="0" borderId="2" xfId="0" applyNumberFormat="1" applyFont="1" applyFill="1" applyBorder="1" applyAlignment="1">
      <alignment horizontal="center" vertical="center" wrapText="1"/>
    </xf>
    <xf numFmtId="165" fontId="30" fillId="8" borderId="2" xfId="3" applyNumberFormat="1" applyFont="1" applyFill="1" applyBorder="1" applyAlignment="1">
      <alignment horizontal="center" vertical="center" wrapText="1"/>
    </xf>
    <xf numFmtId="165" fontId="37" fillId="8" borderId="2" xfId="3" applyNumberFormat="1" applyFont="1" applyFill="1" applyBorder="1" applyAlignment="1">
      <alignment horizontal="center" vertical="center" wrapText="1"/>
    </xf>
    <xf numFmtId="165" fontId="19" fillId="0" borderId="2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38" fillId="0" borderId="2" xfId="0" applyFont="1" applyFill="1" applyBorder="1" applyAlignment="1">
      <alignment horizontal="center" vertical="center"/>
    </xf>
    <xf numFmtId="2" fontId="32" fillId="0" borderId="3" xfId="0" applyNumberFormat="1" applyFont="1" applyFill="1" applyBorder="1" applyAlignment="1">
      <alignment horizontal="center" vertical="center" wrapText="1"/>
    </xf>
    <xf numFmtId="1" fontId="30" fillId="0" borderId="2" xfId="5" applyNumberFormat="1" applyFont="1" applyFill="1" applyBorder="1" applyAlignment="1">
      <alignment horizontal="center" vertical="center" wrapText="1"/>
    </xf>
    <xf numFmtId="0" fontId="19" fillId="7" borderId="3" xfId="3" applyFont="1" applyFill="1" applyBorder="1" applyAlignment="1">
      <alignment horizontal="left" vertical="center" wrapText="1"/>
    </xf>
    <xf numFmtId="165" fontId="19" fillId="7" borderId="2" xfId="3" applyNumberFormat="1" applyFont="1" applyFill="1" applyBorder="1" applyAlignment="1">
      <alignment horizontal="center" vertical="center" wrapText="1"/>
    </xf>
    <xf numFmtId="0" fontId="22" fillId="0" borderId="3" xfId="3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5" fontId="19" fillId="0" borderId="3" xfId="4" applyNumberFormat="1" applyFont="1" applyFill="1" applyBorder="1" applyAlignment="1">
      <alignment horizontal="center" vertical="center" wrapText="1"/>
    </xf>
    <xf numFmtId="165" fontId="30" fillId="0" borderId="5" xfId="6" applyNumberFormat="1" applyFont="1" applyFill="1" applyBorder="1" applyAlignment="1">
      <alignment horizontal="center" vertical="center" wrapText="1"/>
    </xf>
    <xf numFmtId="4" fontId="30" fillId="0" borderId="3" xfId="4" applyNumberFormat="1" applyFont="1" applyFill="1" applyBorder="1" applyAlignment="1">
      <alignment horizontal="center" vertical="center" wrapText="1"/>
    </xf>
    <xf numFmtId="4" fontId="30" fillId="0" borderId="6" xfId="4" applyNumberFormat="1" applyFont="1" applyFill="1" applyBorder="1" applyAlignment="1">
      <alignment horizontal="center" vertical="center" wrapText="1"/>
    </xf>
    <xf numFmtId="0" fontId="36" fillId="0" borderId="2" xfId="0" applyFont="1" applyFill="1" applyBorder="1"/>
    <xf numFmtId="0" fontId="18" fillId="6" borderId="3" xfId="3" applyFont="1" applyFill="1" applyBorder="1" applyAlignment="1">
      <alignment horizontal="center" vertical="center"/>
    </xf>
    <xf numFmtId="0" fontId="38" fillId="6" borderId="2" xfId="0" applyFont="1" applyFill="1" applyBorder="1" applyAlignment="1">
      <alignment horizontal="center" vertical="center" wrapText="1"/>
    </xf>
    <xf numFmtId="165" fontId="37" fillId="6" borderId="2" xfId="4" applyNumberFormat="1" applyFont="1" applyFill="1" applyBorder="1" applyAlignment="1">
      <alignment horizontal="center" vertical="center" wrapText="1"/>
    </xf>
    <xf numFmtId="165" fontId="30" fillId="6" borderId="12" xfId="6" applyNumberFormat="1" applyFont="1" applyFill="1" applyBorder="1" applyAlignment="1">
      <alignment horizontal="center" vertical="center" wrapText="1"/>
    </xf>
    <xf numFmtId="0" fontId="45" fillId="0" borderId="2" xfId="0" applyFont="1" applyBorder="1" applyAlignment="1">
      <alignment horizontal="left" vertical="center" wrapText="1"/>
    </xf>
    <xf numFmtId="0" fontId="45" fillId="6" borderId="2" xfId="0" applyFont="1" applyFill="1" applyBorder="1" applyAlignment="1">
      <alignment horizontal="center" vertical="center" wrapText="1"/>
    </xf>
    <xf numFmtId="165" fontId="30" fillId="6" borderId="2" xfId="4" applyNumberFormat="1" applyFont="1" applyFill="1" applyBorder="1" applyAlignment="1">
      <alignment horizontal="center" vertical="center" wrapText="1"/>
    </xf>
    <xf numFmtId="165" fontId="30" fillId="6" borderId="2" xfId="6" applyNumberFormat="1" applyFont="1" applyFill="1" applyBorder="1" applyAlignment="1">
      <alignment horizontal="center" vertical="center" wrapText="1"/>
    </xf>
    <xf numFmtId="0" fontId="30" fillId="0" borderId="2" xfId="4" applyNumberFormat="1" applyFont="1" applyFill="1" applyBorder="1" applyAlignment="1">
      <alignment horizontal="center" vertical="center" wrapText="1"/>
    </xf>
    <xf numFmtId="165" fontId="19" fillId="7" borderId="12" xfId="4" applyNumberFormat="1" applyFont="1" applyFill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 vertical="center" wrapText="1"/>
    </xf>
    <xf numFmtId="165" fontId="30" fillId="0" borderId="3" xfId="3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0" fontId="48" fillId="0" borderId="2" xfId="0" applyFont="1" applyFill="1" applyBorder="1"/>
    <xf numFmtId="0" fontId="13" fillId="7" borderId="2" xfId="3" applyFont="1" applyFill="1" applyBorder="1" applyAlignment="1">
      <alignment horizontal="center" vertical="center"/>
    </xf>
    <xf numFmtId="0" fontId="19" fillId="7" borderId="2" xfId="3" applyFont="1" applyFill="1" applyBorder="1" applyAlignment="1">
      <alignment vertical="center" wrapText="1"/>
    </xf>
    <xf numFmtId="4" fontId="19" fillId="7" borderId="2" xfId="3" applyNumberFormat="1" applyFont="1" applyFill="1" applyBorder="1" applyAlignment="1">
      <alignment horizontal="center" vertical="center" wrapText="1"/>
    </xf>
    <xf numFmtId="4" fontId="30" fillId="7" borderId="2" xfId="3" applyNumberFormat="1" applyFont="1" applyFill="1" applyBorder="1" applyAlignment="1">
      <alignment horizontal="center" vertical="center" wrapText="1"/>
    </xf>
    <xf numFmtId="1" fontId="23" fillId="0" borderId="2" xfId="5" applyNumberFormat="1" applyFont="1" applyFill="1" applyBorder="1" applyAlignment="1">
      <alignment horizontal="center" vertical="center" wrapText="1"/>
    </xf>
    <xf numFmtId="0" fontId="31" fillId="0" borderId="2" xfId="0" applyFont="1" applyFill="1" applyBorder="1"/>
    <xf numFmtId="0" fontId="0" fillId="0" borderId="0" xfId="0" applyFont="1" applyFill="1"/>
    <xf numFmtId="2" fontId="49" fillId="0" borderId="3" xfId="0" applyNumberFormat="1" applyFont="1" applyFill="1" applyBorder="1" applyAlignment="1">
      <alignment horizontal="center" vertical="center" wrapText="1"/>
    </xf>
    <xf numFmtId="41" fontId="0" fillId="0" borderId="2" xfId="0" applyNumberFormat="1" applyFont="1" applyBorder="1" applyAlignment="1">
      <alignment horizontal="center"/>
    </xf>
    <xf numFmtId="4" fontId="50" fillId="7" borderId="3" xfId="3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171" fontId="36" fillId="0" borderId="2" xfId="0" applyNumberFormat="1" applyFont="1" applyFill="1" applyBorder="1"/>
    <xf numFmtId="0" fontId="0" fillId="0" borderId="2" xfId="0" applyFont="1" applyFill="1" applyBorder="1" applyAlignment="1">
      <alignment horizontal="center" vertical="center"/>
    </xf>
    <xf numFmtId="172" fontId="19" fillId="7" borderId="2" xfId="4" applyNumberFormat="1" applyFont="1" applyFill="1" applyBorder="1" applyAlignment="1">
      <alignment horizontal="center" vertical="center" wrapText="1"/>
    </xf>
    <xf numFmtId="0" fontId="51" fillId="7" borderId="3" xfId="3" applyFont="1" applyFill="1" applyBorder="1" applyAlignment="1">
      <alignment horizontal="center" vertical="center"/>
    </xf>
    <xf numFmtId="0" fontId="51" fillId="7" borderId="3" xfId="3" applyFont="1" applyFill="1" applyBorder="1" applyAlignment="1">
      <alignment vertical="center" wrapText="1"/>
    </xf>
    <xf numFmtId="2" fontId="51" fillId="7" borderId="2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4" fontId="22" fillId="7" borderId="3" xfId="3" applyNumberFormat="1" applyFont="1" applyFill="1" applyBorder="1" applyAlignment="1">
      <alignment horizontal="center" vertical="center" wrapText="1"/>
    </xf>
    <xf numFmtId="4" fontId="22" fillId="7" borderId="6" xfId="3" applyNumberFormat="1" applyFont="1" applyFill="1" applyBorder="1" applyAlignment="1">
      <alignment horizontal="center" vertical="center" wrapText="1"/>
    </xf>
    <xf numFmtId="0" fontId="52" fillId="0" borderId="0" xfId="0" applyFont="1" applyFill="1"/>
    <xf numFmtId="4" fontId="22" fillId="0" borderId="3" xfId="3" applyNumberFormat="1" applyFont="1" applyFill="1" applyBorder="1" applyAlignment="1">
      <alignment horizontal="center" vertical="center" wrapText="1"/>
    </xf>
    <xf numFmtId="4" fontId="22" fillId="0" borderId="6" xfId="3" applyNumberFormat="1" applyFont="1" applyFill="1" applyBorder="1" applyAlignment="1">
      <alignment horizontal="center" vertical="center" wrapText="1"/>
    </xf>
    <xf numFmtId="165" fontId="22" fillId="0" borderId="2" xfId="4" applyNumberFormat="1" applyFont="1" applyFill="1" applyBorder="1" applyAlignment="1">
      <alignment horizontal="center" vertical="center" wrapText="1"/>
    </xf>
    <xf numFmtId="165" fontId="22" fillId="0" borderId="4" xfId="4" applyNumberFormat="1" applyFont="1" applyFill="1" applyBorder="1" applyAlignment="1">
      <alignment horizontal="center" vertical="center" wrapText="1"/>
    </xf>
    <xf numFmtId="165" fontId="22" fillId="0" borderId="2" xfId="6" applyNumberFormat="1" applyFont="1" applyFill="1" applyBorder="1" applyAlignment="1">
      <alignment horizontal="center" vertical="center" wrapText="1"/>
    </xf>
    <xf numFmtId="165" fontId="22" fillId="0" borderId="3" xfId="4" applyNumberFormat="1" applyFont="1" applyFill="1" applyBorder="1" applyAlignment="1">
      <alignment horizontal="center" vertical="center" wrapText="1"/>
    </xf>
    <xf numFmtId="3" fontId="53" fillId="7" borderId="2" xfId="0" applyNumberFormat="1" applyFont="1" applyFill="1" applyBorder="1"/>
    <xf numFmtId="14" fontId="54" fillId="7" borderId="2" xfId="0" applyNumberFormat="1" applyFont="1" applyFill="1" applyBorder="1" applyAlignment="1">
      <alignment vertical="center"/>
    </xf>
    <xf numFmtId="0" fontId="20" fillId="7" borderId="2" xfId="3" applyFont="1" applyFill="1" applyBorder="1" applyAlignment="1">
      <alignment vertical="center" wrapText="1"/>
    </xf>
    <xf numFmtId="168" fontId="30" fillId="7" borderId="2" xfId="1" applyNumberFormat="1" applyFont="1" applyFill="1" applyBorder="1" applyAlignment="1">
      <alignment vertical="center" wrapText="1"/>
    </xf>
    <xf numFmtId="164" fontId="20" fillId="7" borderId="2" xfId="3" applyNumberFormat="1" applyFont="1" applyFill="1" applyBorder="1" applyAlignment="1">
      <alignment horizontal="center" vertical="center" wrapText="1"/>
    </xf>
    <xf numFmtId="164" fontId="20" fillId="0" borderId="2" xfId="3" applyNumberFormat="1" applyFont="1" applyFill="1" applyBorder="1" applyAlignment="1">
      <alignment horizontal="center" vertical="center" wrapText="1"/>
    </xf>
    <xf numFmtId="165" fontId="20" fillId="7" borderId="2" xfId="4" applyNumberFormat="1" applyFont="1" applyFill="1" applyBorder="1" applyAlignment="1">
      <alignment horizontal="center"/>
    </xf>
    <xf numFmtId="165" fontId="20" fillId="7" borderId="5" xfId="4" applyNumberFormat="1" applyFont="1" applyFill="1" applyBorder="1" applyAlignment="1">
      <alignment horizontal="center"/>
    </xf>
    <xf numFmtId="165" fontId="20" fillId="7" borderId="3" xfId="4" applyNumberFormat="1" applyFont="1" applyFill="1" applyBorder="1" applyAlignment="1">
      <alignment horizontal="center"/>
    </xf>
    <xf numFmtId="0" fontId="31" fillId="0" borderId="14" xfId="0" applyFont="1" applyFill="1" applyBorder="1" applyAlignment="1">
      <alignment horizontal="center" vertical="center"/>
    </xf>
    <xf numFmtId="164" fontId="30" fillId="0" borderId="12" xfId="3" applyNumberFormat="1" applyFont="1" applyFill="1" applyBorder="1" applyAlignment="1">
      <alignment horizontal="center" vertical="center" wrapText="1"/>
    </xf>
    <xf numFmtId="1" fontId="23" fillId="0" borderId="5" xfId="4" applyNumberFormat="1" applyFont="1" applyFill="1" applyBorder="1" applyAlignment="1">
      <alignment horizontal="center" vertical="center" wrapText="1"/>
    </xf>
    <xf numFmtId="169" fontId="23" fillId="0" borderId="2" xfId="4" applyNumberFormat="1" applyFont="1" applyFill="1" applyBorder="1" applyAlignment="1">
      <alignment horizontal="center" vertical="center" wrapText="1"/>
    </xf>
    <xf numFmtId="169" fontId="23" fillId="0" borderId="5" xfId="4" applyNumberFormat="1" applyFont="1" applyFill="1" applyBorder="1" applyAlignment="1">
      <alignment horizontal="center" vertical="center" wrapText="1"/>
    </xf>
    <xf numFmtId="169" fontId="11" fillId="0" borderId="13" xfId="4" applyNumberFormat="1" applyFont="1" applyFill="1" applyBorder="1" applyAlignment="1">
      <alignment horizontal="center" vertical="center" wrapText="1"/>
    </xf>
    <xf numFmtId="1" fontId="23" fillId="0" borderId="2" xfId="6" applyNumberFormat="1" applyFont="1" applyFill="1" applyBorder="1" applyAlignment="1">
      <alignment horizontal="center" vertical="center" wrapText="1"/>
    </xf>
    <xf numFmtId="1" fontId="30" fillId="0" borderId="5" xfId="4" applyNumberFormat="1" applyFont="1" applyFill="1" applyBorder="1" applyAlignment="1">
      <alignment horizontal="center" vertical="center" wrapText="1"/>
    </xf>
    <xf numFmtId="1" fontId="30" fillId="0" borderId="5" xfId="4" applyNumberFormat="1" applyFont="1" applyFill="1" applyBorder="1" applyAlignment="1">
      <alignment horizontal="right" vertical="center" wrapText="1"/>
    </xf>
    <xf numFmtId="169" fontId="23" fillId="0" borderId="6" xfId="4" applyNumberFormat="1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/>
    </xf>
    <xf numFmtId="0" fontId="45" fillId="0" borderId="2" xfId="0" applyFont="1" applyFill="1" applyBorder="1" applyAlignment="1">
      <alignment horizontal="left" vertical="center" wrapText="1"/>
    </xf>
    <xf numFmtId="165" fontId="20" fillId="0" borderId="2" xfId="4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165" fontId="10" fillId="0" borderId="2" xfId="6" applyNumberFormat="1" applyFont="1" applyFill="1" applyBorder="1" applyAlignment="1">
      <alignment horizontal="center" vertical="center" wrapText="1"/>
    </xf>
    <xf numFmtId="10" fontId="46" fillId="0" borderId="2" xfId="0" applyNumberFormat="1" applyFont="1" applyFill="1" applyBorder="1"/>
    <xf numFmtId="0" fontId="47" fillId="0" borderId="2" xfId="0" applyFont="1" applyFill="1" applyBorder="1"/>
    <xf numFmtId="3" fontId="10" fillId="0" borderId="2" xfId="0" applyNumberFormat="1" applyFont="1" applyFill="1" applyBorder="1" applyAlignment="1">
      <alignment vertical="center"/>
    </xf>
    <xf numFmtId="41" fontId="0" fillId="0" borderId="2" xfId="0" applyNumberFormat="1" applyFont="1" applyFill="1" applyBorder="1" applyAlignment="1">
      <alignment horizontal="center"/>
    </xf>
    <xf numFmtId="41" fontId="0" fillId="0" borderId="2" xfId="0" applyNumberFormat="1" applyFont="1" applyFill="1" applyBorder="1" applyAlignment="1">
      <alignment horizontal="center" vertical="center"/>
    </xf>
    <xf numFmtId="1" fontId="23" fillId="7" borderId="9" xfId="4" applyNumberFormat="1" applyFont="1" applyFill="1" applyBorder="1" applyAlignment="1">
      <alignment horizontal="center" vertical="center" wrapText="1"/>
    </xf>
    <xf numFmtId="1" fontId="23" fillId="7" borderId="10" xfId="4" applyNumberFormat="1" applyFont="1" applyFill="1" applyBorder="1" applyAlignment="1">
      <alignment horizontal="center" vertical="center" wrapText="1"/>
    </xf>
    <xf numFmtId="1" fontId="23" fillId="7" borderId="2" xfId="4" applyNumberFormat="1" applyFont="1" applyFill="1" applyBorder="1" applyAlignment="1">
      <alignment horizontal="center" vertical="center" wrapText="1"/>
    </xf>
    <xf numFmtId="1" fontId="23" fillId="7" borderId="5" xfId="4" applyNumberFormat="1" applyFont="1" applyFill="1" applyBorder="1" applyAlignment="1">
      <alignment horizontal="center" vertical="center" wrapText="1"/>
    </xf>
    <xf numFmtId="1" fontId="23" fillId="7" borderId="3" xfId="4" applyNumberFormat="1" applyFont="1" applyFill="1" applyBorder="1" applyAlignment="1">
      <alignment horizontal="center" vertical="center" wrapText="1"/>
    </xf>
    <xf numFmtId="164" fontId="26" fillId="0" borderId="4" xfId="3" applyNumberFormat="1" applyFont="1" applyFill="1" applyBorder="1" applyAlignment="1">
      <alignment horizontal="center" vertical="center" wrapText="1"/>
    </xf>
    <xf numFmtId="164" fontId="26" fillId="0" borderId="12" xfId="3" applyNumberFormat="1" applyFont="1" applyFill="1" applyBorder="1" applyAlignment="1">
      <alignment horizontal="center" vertical="center" wrapText="1"/>
    </xf>
    <xf numFmtId="164" fontId="26" fillId="0" borderId="8" xfId="3" applyNumberFormat="1" applyFont="1" applyFill="1" applyBorder="1" applyAlignment="1">
      <alignment horizontal="center" vertical="center" wrapText="1"/>
    </xf>
    <xf numFmtId="164" fontId="26" fillId="0" borderId="13" xfId="3" applyNumberFormat="1" applyFont="1" applyFill="1" applyBorder="1" applyAlignment="1">
      <alignment horizontal="center" vertical="center" wrapText="1"/>
    </xf>
    <xf numFmtId="49" fontId="23" fillId="0" borderId="5" xfId="4" applyNumberFormat="1" applyFont="1" applyFill="1" applyBorder="1" applyAlignment="1">
      <alignment horizontal="center" vertical="center" wrapText="1"/>
    </xf>
    <xf numFmtId="49" fontId="23" fillId="0" borderId="6" xfId="4" applyNumberFormat="1" applyFont="1" applyFill="1" applyBorder="1" applyAlignment="1">
      <alignment horizontal="center" vertical="center" wrapText="1"/>
    </xf>
    <xf numFmtId="49" fontId="23" fillId="0" borderId="3" xfId="4" applyNumberFormat="1" applyFont="1" applyFill="1" applyBorder="1" applyAlignment="1">
      <alignment horizontal="center" vertical="center" wrapText="1"/>
    </xf>
    <xf numFmtId="49" fontId="11" fillId="0" borderId="2" xfId="4" applyNumberFormat="1" applyFont="1" applyFill="1" applyBorder="1" applyAlignment="1">
      <alignment horizontal="center" vertical="center" wrapText="1"/>
    </xf>
    <xf numFmtId="49" fontId="23" fillId="0" borderId="6" xfId="3" applyNumberFormat="1" applyFont="1" applyFill="1" applyBorder="1" applyAlignment="1">
      <alignment horizontal="center" vertical="center" wrapText="1"/>
    </xf>
    <xf numFmtId="49" fontId="23" fillId="0" borderId="5" xfId="3" applyNumberFormat="1" applyFont="1" applyFill="1" applyBorder="1" applyAlignment="1">
      <alignment horizontal="center" vertical="center" wrapText="1"/>
    </xf>
    <xf numFmtId="49" fontId="23" fillId="0" borderId="3" xfId="3" applyNumberFormat="1" applyFont="1" applyFill="1" applyBorder="1" applyAlignment="1">
      <alignment horizontal="center" vertical="center" wrapText="1"/>
    </xf>
    <xf numFmtId="0" fontId="23" fillId="0" borderId="5" xfId="3" applyNumberFormat="1" applyFont="1" applyFill="1" applyBorder="1" applyAlignment="1">
      <alignment horizontal="center" vertical="center" wrapText="1"/>
    </xf>
    <xf numFmtId="0" fontId="23" fillId="0" borderId="3" xfId="3" applyNumberFormat="1" applyFont="1" applyFill="1" applyBorder="1" applyAlignment="1">
      <alignment horizontal="center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11" fillId="0" borderId="2" xfId="3" applyNumberFormat="1" applyFont="1" applyFill="1" applyBorder="1" applyAlignment="1">
      <alignment horizontal="center" vertical="center" wrapText="1"/>
    </xf>
    <xf numFmtId="0" fontId="11" fillId="0" borderId="6" xfId="3" applyNumberFormat="1" applyFont="1" applyFill="1" applyBorder="1" applyAlignment="1">
      <alignment horizontal="center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1" fontId="23" fillId="0" borderId="5" xfId="3" applyNumberFormat="1" applyFont="1" applyFill="1" applyBorder="1" applyAlignment="1">
      <alignment horizontal="center" vertical="center" wrapText="1"/>
    </xf>
    <xf numFmtId="1" fontId="23" fillId="0" borderId="6" xfId="3" applyNumberFormat="1" applyFont="1" applyFill="1" applyBorder="1" applyAlignment="1">
      <alignment horizontal="center" vertical="center" wrapText="1"/>
    </xf>
    <xf numFmtId="1" fontId="12" fillId="0" borderId="2" xfId="3" applyNumberFormat="1" applyFont="1" applyFill="1" applyBorder="1" applyAlignment="1">
      <alignment horizontal="center" vertical="center" wrapText="1"/>
    </xf>
    <xf numFmtId="0" fontId="23" fillId="0" borderId="6" xfId="3" applyNumberFormat="1" applyFont="1" applyFill="1" applyBorder="1" applyAlignment="1">
      <alignment horizontal="center" vertical="center" wrapText="1"/>
    </xf>
    <xf numFmtId="1" fontId="23" fillId="0" borderId="3" xfId="3" applyNumberFormat="1" applyFont="1" applyFill="1" applyBorder="1" applyAlignment="1">
      <alignment horizontal="center" vertical="center" wrapText="1"/>
    </xf>
    <xf numFmtId="1" fontId="23" fillId="4" borderId="5" xfId="3" applyNumberFormat="1" applyFont="1" applyFill="1" applyBorder="1" applyAlignment="1">
      <alignment horizontal="center" vertical="center" wrapText="1"/>
    </xf>
    <xf numFmtId="1" fontId="23" fillId="4" borderId="6" xfId="3" applyNumberFormat="1" applyFont="1" applyFill="1" applyBorder="1" applyAlignment="1">
      <alignment horizontal="center" vertical="center" wrapText="1"/>
    </xf>
    <xf numFmtId="1" fontId="23" fillId="5" borderId="5" xfId="3" applyNumberFormat="1" applyFont="1" applyFill="1" applyBorder="1" applyAlignment="1">
      <alignment horizontal="center" vertical="center" wrapText="1"/>
    </xf>
    <xf numFmtId="1" fontId="23" fillId="5" borderId="6" xfId="3" applyNumberFormat="1" applyFont="1" applyFill="1" applyBorder="1" applyAlignment="1">
      <alignment horizontal="center" vertical="center" wrapText="1"/>
    </xf>
    <xf numFmtId="1" fontId="23" fillId="6" borderId="5" xfId="3" applyNumberFormat="1" applyFont="1" applyFill="1" applyBorder="1" applyAlignment="1">
      <alignment horizontal="center" vertical="center" wrapText="1"/>
    </xf>
    <xf numFmtId="1" fontId="23" fillId="6" borderId="6" xfId="3" applyNumberFormat="1" applyFont="1" applyFill="1" applyBorder="1" applyAlignment="1">
      <alignment horizontal="center" vertical="center" wrapText="1"/>
    </xf>
    <xf numFmtId="1" fontId="23" fillId="3" borderId="5" xfId="3" applyNumberFormat="1" applyFont="1" applyFill="1" applyBorder="1" applyAlignment="1">
      <alignment horizontal="center" vertical="center" wrapText="1"/>
    </xf>
    <xf numFmtId="1" fontId="23" fillId="3" borderId="6" xfId="3" applyNumberFormat="1" applyFont="1" applyFill="1" applyBorder="1" applyAlignment="1">
      <alignment horizontal="center" vertical="center" wrapText="1"/>
    </xf>
    <xf numFmtId="1" fontId="23" fillId="2" borderId="5" xfId="3" applyNumberFormat="1" applyFont="1" applyFill="1" applyBorder="1" applyAlignment="1">
      <alignment horizontal="center" vertical="center" wrapText="1"/>
    </xf>
    <xf numFmtId="1" fontId="23" fillId="2" borderId="6" xfId="3" applyNumberFormat="1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1" fontId="11" fillId="0" borderId="2" xfId="3" applyNumberFormat="1" applyFont="1" applyFill="1" applyBorder="1" applyAlignment="1">
      <alignment horizontal="center" vertical="center" wrapText="1"/>
    </xf>
    <xf numFmtId="1" fontId="11" fillId="0" borderId="6" xfId="3" applyNumberFormat="1" applyFont="1" applyFill="1" applyBorder="1" applyAlignment="1">
      <alignment horizontal="center" vertical="center" wrapText="1"/>
    </xf>
    <xf numFmtId="164" fontId="22" fillId="0" borderId="5" xfId="3" applyNumberFormat="1" applyFont="1" applyFill="1" applyBorder="1" applyAlignment="1">
      <alignment horizontal="center" vertical="center" wrapText="1"/>
    </xf>
    <xf numFmtId="164" fontId="22" fillId="0" borderId="6" xfId="3" applyNumberFormat="1" applyFont="1" applyFill="1" applyBorder="1" applyAlignment="1">
      <alignment horizontal="center" vertical="center" wrapText="1"/>
    </xf>
    <xf numFmtId="164" fontId="22" fillId="0" borderId="3" xfId="3" applyNumberFormat="1" applyFont="1" applyFill="1" applyBorder="1" applyAlignment="1">
      <alignment horizontal="center" vertical="center" wrapText="1"/>
    </xf>
    <xf numFmtId="164" fontId="21" fillId="0" borderId="4" xfId="3" applyNumberFormat="1" applyFont="1" applyFill="1" applyBorder="1" applyAlignment="1">
      <alignment horizontal="center" vertical="center" wrapText="1"/>
    </xf>
    <xf numFmtId="164" fontId="21" fillId="0" borderId="7" xfId="3" applyNumberFormat="1" applyFont="1" applyFill="1" applyBorder="1" applyAlignment="1">
      <alignment horizontal="center" vertical="center" wrapText="1"/>
    </xf>
    <xf numFmtId="164" fontId="21" fillId="0" borderId="12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12" xfId="3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164" fontId="10" fillId="0" borderId="12" xfId="4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9" fillId="0" borderId="4" xfId="4" applyFont="1" applyFill="1" applyBorder="1" applyAlignment="1">
      <alignment horizontal="center" vertical="center" wrapText="1"/>
    </xf>
    <xf numFmtId="0" fontId="19" fillId="0" borderId="7" xfId="4" applyFont="1" applyFill="1" applyBorder="1" applyAlignment="1">
      <alignment horizontal="center" vertical="center" wrapText="1"/>
    </xf>
    <xf numFmtId="0" fontId="19" fillId="0" borderId="12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top" wrapText="1"/>
    </xf>
    <xf numFmtId="0" fontId="6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73">
    <cellStyle name="Normal_Sheet1" xfId="7"/>
    <cellStyle name="Обычный" xfId="0" builtinId="0"/>
    <cellStyle name="Обычный 2" xfId="3"/>
    <cellStyle name="Обычный 2 2" xfId="6"/>
    <cellStyle name="Обычный 2 3" xfId="8"/>
    <cellStyle name="Обычный 2 3 2" xfId="4"/>
    <cellStyle name="Обычный 2 3 2 2" xfId="5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M523"/>
  <sheetViews>
    <sheetView tabSelected="1" zoomScale="70" zoomScaleNormal="70" zoomScaleSheetLayoutView="85" workbookViewId="0">
      <pane xSplit="16" ySplit="14" topLeftCell="Q240" activePane="bottomRight" state="frozen"/>
      <selection activeCell="J122" sqref="J122"/>
      <selection pane="topRight" activeCell="J122" sqref="J122"/>
      <selection pane="bottomLeft" activeCell="J122" sqref="J122"/>
      <selection pane="bottomRight" activeCell="BO245" sqref="BO245"/>
    </sheetView>
  </sheetViews>
  <sheetFormatPr defaultColWidth="9.140625" defaultRowHeight="15.75" x14ac:dyDescent="0.25"/>
  <cols>
    <col min="1" max="1" width="6.28515625" style="1" customWidth="1"/>
    <col min="2" max="2" width="8.42578125" style="1" customWidth="1"/>
    <col min="3" max="3" width="14" style="1" customWidth="1"/>
    <col min="4" max="4" width="37.28515625" style="2" customWidth="1"/>
    <col min="5" max="6" width="9.85546875" style="2" customWidth="1"/>
    <col min="7" max="7" width="9.85546875" style="3" customWidth="1"/>
    <col min="8" max="9" width="9.140625" style="3" customWidth="1"/>
    <col min="10" max="11" width="9.140625" style="3" hidden="1" customWidth="1"/>
    <col min="12" max="12" width="9.140625" style="3" customWidth="1"/>
    <col min="13" max="13" width="6.85546875" style="3" hidden="1" customWidth="1"/>
    <col min="14" max="16" width="5.5703125" style="3" hidden="1" customWidth="1"/>
    <col min="17" max="17" width="11.42578125" style="4" customWidth="1"/>
    <col min="18" max="18" width="17.7109375" style="4" customWidth="1"/>
    <col min="19" max="19" width="12.28515625" style="4" hidden="1" customWidth="1"/>
    <col min="20" max="20" width="16.7109375" style="4" hidden="1" customWidth="1"/>
    <col min="21" max="21" width="11" style="6" hidden="1" customWidth="1"/>
    <col min="22" max="22" width="16.85546875" style="6" hidden="1" customWidth="1"/>
    <col min="23" max="23" width="11.7109375" style="7" customWidth="1"/>
    <col min="24" max="24" width="16.28515625" style="4" customWidth="1"/>
    <col min="25" max="25" width="11.42578125" style="4" hidden="1" customWidth="1"/>
    <col min="26" max="26" width="18.85546875" style="4" hidden="1" customWidth="1"/>
    <col min="27" max="27" width="11.7109375" style="4" customWidth="1"/>
    <col min="28" max="28" width="15.140625" style="4" customWidth="1"/>
    <col min="29" max="29" width="11.7109375" style="4" hidden="1" customWidth="1"/>
    <col min="30" max="30" width="11.42578125" style="4" hidden="1" customWidth="1"/>
    <col min="31" max="31" width="10.85546875" style="4" customWidth="1"/>
    <col min="32" max="32" width="17.42578125" style="4" customWidth="1"/>
    <col min="33" max="33" width="11.28515625" style="4" hidden="1" customWidth="1"/>
    <col min="34" max="34" width="15.140625" style="4" hidden="1" customWidth="1"/>
    <col min="35" max="35" width="11.5703125" style="4" hidden="1" customWidth="1"/>
    <col min="36" max="36" width="15.140625" style="4" hidden="1" customWidth="1"/>
    <col min="37" max="37" width="11.140625" style="4" hidden="1" customWidth="1"/>
    <col min="38" max="38" width="17.28515625" style="4" hidden="1" customWidth="1"/>
    <col min="39" max="39" width="11.85546875" style="4" hidden="1" customWidth="1"/>
    <col min="40" max="40" width="17" style="4" hidden="1" customWidth="1"/>
    <col min="41" max="41" width="11.28515625" style="4" hidden="1" customWidth="1"/>
    <col min="42" max="42" width="15.5703125" style="4" hidden="1" customWidth="1"/>
    <col min="43" max="43" width="10.85546875" style="4" hidden="1" customWidth="1"/>
    <col min="44" max="44" width="15.5703125" style="4" hidden="1" customWidth="1"/>
    <col min="45" max="45" width="11.7109375" style="4" hidden="1" customWidth="1"/>
    <col min="46" max="46" width="15.140625" style="4" hidden="1" customWidth="1"/>
    <col min="47" max="47" width="10.42578125" style="4" hidden="1" customWidth="1"/>
    <col min="48" max="48" width="15.7109375" style="4" hidden="1" customWidth="1"/>
    <col min="49" max="49" width="10.85546875" style="4" hidden="1" customWidth="1"/>
    <col min="50" max="50" width="14.28515625" style="4" hidden="1" customWidth="1"/>
    <col min="51" max="51" width="11.140625" style="4" hidden="1" customWidth="1"/>
    <col min="52" max="52" width="17.140625" style="4" hidden="1" customWidth="1"/>
    <col min="53" max="53" width="11" style="4" hidden="1" customWidth="1"/>
    <col min="54" max="54" width="16.5703125" style="4" hidden="1" customWidth="1"/>
    <col min="55" max="55" width="11.85546875" style="4" hidden="1" customWidth="1"/>
    <col min="56" max="56" width="16.85546875" style="4" hidden="1" customWidth="1"/>
    <col min="57" max="57" width="11.28515625" style="4" hidden="1" customWidth="1"/>
    <col min="58" max="58" width="18.140625" style="4" hidden="1" customWidth="1"/>
    <col min="59" max="59" width="12" style="4" hidden="1" customWidth="1"/>
    <col min="60" max="60" width="14.7109375" style="4" hidden="1" customWidth="1"/>
    <col min="61" max="61" width="10.5703125" style="4" hidden="1" customWidth="1"/>
    <col min="62" max="62" width="17" style="4" hidden="1" customWidth="1"/>
    <col min="63" max="63" width="11.42578125" style="4" hidden="1" customWidth="1"/>
    <col min="64" max="64" width="15.7109375" style="4" hidden="1" customWidth="1"/>
    <col min="65" max="65" width="11.85546875" style="4" hidden="1" customWidth="1"/>
    <col min="66" max="66" width="15.42578125" style="4" hidden="1" customWidth="1"/>
    <col min="67" max="67" width="11.140625" style="4" customWidth="1"/>
    <col min="68" max="68" width="15.140625" style="4" customWidth="1"/>
    <col min="69" max="69" width="11.42578125" style="4" hidden="1" customWidth="1"/>
    <col min="70" max="70" width="15.140625" style="4" hidden="1" customWidth="1"/>
    <col min="71" max="71" width="11.85546875" style="4" hidden="1" customWidth="1"/>
    <col min="72" max="72" width="15.140625" style="4" hidden="1" customWidth="1"/>
    <col min="73" max="73" width="12" style="4" hidden="1" customWidth="1"/>
    <col min="74" max="74" width="16.140625" style="4" hidden="1" customWidth="1"/>
    <col min="75" max="75" width="11.140625" style="4" hidden="1" customWidth="1"/>
    <col min="76" max="76" width="15.7109375" style="4" hidden="1" customWidth="1"/>
    <col min="77" max="77" width="11.28515625" style="4" hidden="1" customWidth="1"/>
    <col min="78" max="78" width="15.28515625" style="4" hidden="1" customWidth="1"/>
    <col min="79" max="79" width="10.85546875" style="4" hidden="1" customWidth="1"/>
    <col min="80" max="80" width="16.28515625" style="4" hidden="1" customWidth="1"/>
    <col min="81" max="81" width="11" style="4" hidden="1" customWidth="1"/>
    <col min="82" max="82" width="17.28515625" style="4" hidden="1" customWidth="1"/>
    <col min="83" max="83" width="9.85546875" style="4" hidden="1" customWidth="1"/>
    <col min="84" max="84" width="16.85546875" style="4" hidden="1" customWidth="1"/>
    <col min="85" max="85" width="12.140625" style="4" hidden="1" customWidth="1"/>
    <col min="86" max="86" width="16.7109375" style="4" hidden="1" customWidth="1"/>
    <col min="87" max="87" width="10" style="4" hidden="1" customWidth="1"/>
    <col min="88" max="88" width="14.7109375" style="4" hidden="1" customWidth="1"/>
    <col min="89" max="89" width="11.28515625" style="4" customWidth="1"/>
    <col min="90" max="90" width="17.140625" style="4" customWidth="1"/>
    <col min="91" max="91" width="11.42578125" style="4" hidden="1" customWidth="1"/>
    <col min="92" max="92" width="15.140625" style="4" hidden="1" customWidth="1"/>
    <col min="93" max="93" width="11.85546875" style="4" hidden="1" customWidth="1"/>
    <col min="94" max="94" width="16.5703125" style="4" hidden="1" customWidth="1"/>
    <col min="95" max="95" width="11.140625" style="4" hidden="1" customWidth="1"/>
    <col min="96" max="96" width="16.140625" style="4" hidden="1" customWidth="1"/>
    <col min="97" max="97" width="10.85546875" style="4" hidden="1" customWidth="1"/>
    <col min="98" max="98" width="15" style="4" hidden="1" customWidth="1"/>
    <col min="99" max="99" width="9.85546875" style="4" hidden="1" customWidth="1"/>
    <col min="100" max="100" width="15.85546875" style="4" hidden="1" customWidth="1"/>
    <col min="101" max="101" width="11.140625" style="1" hidden="1" customWidth="1"/>
    <col min="102" max="102" width="18.42578125" style="1" hidden="1" customWidth="1"/>
    <col min="103" max="16384" width="9.140625" style="1"/>
  </cols>
  <sheetData>
    <row r="1" spans="1:102" ht="18" customHeight="1" x14ac:dyDescent="0.25">
      <c r="E1" s="351" t="s">
        <v>1159</v>
      </c>
      <c r="F1" s="352"/>
      <c r="G1" s="352"/>
      <c r="H1" s="352"/>
      <c r="R1" s="1"/>
      <c r="S1" s="5"/>
      <c r="T1" s="5"/>
      <c r="AI1" s="8"/>
    </row>
    <row r="2" spans="1:102" ht="34.5" customHeight="1" x14ac:dyDescent="0.25">
      <c r="E2" s="353" t="s">
        <v>1158</v>
      </c>
      <c r="F2" s="353"/>
      <c r="G2" s="353"/>
      <c r="H2" s="353"/>
      <c r="R2" s="9"/>
      <c r="S2" s="10"/>
      <c r="T2" s="11"/>
      <c r="V2" s="12"/>
      <c r="BB2" s="8" t="e">
        <f>#REF!</f>
        <v>#REF!</v>
      </c>
      <c r="BF2" s="8"/>
      <c r="CE2" s="8"/>
      <c r="CO2" s="7"/>
    </row>
    <row r="3" spans="1:102" ht="23.25" customHeight="1" x14ac:dyDescent="0.25">
      <c r="A3" s="13"/>
      <c r="B3" s="14" t="s">
        <v>0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R3" s="8"/>
      <c r="S3" s="15"/>
      <c r="T3" s="1"/>
      <c r="V3" s="12"/>
      <c r="Z3" s="8"/>
      <c r="AF3" s="8"/>
      <c r="AH3" s="8"/>
      <c r="AK3" s="8" t="e">
        <f>AK519-#REF!</f>
        <v>#REF!</v>
      </c>
      <c r="AL3" s="8" t="e">
        <f>AL519-#REF!</f>
        <v>#REF!</v>
      </c>
      <c r="AO3" s="8"/>
      <c r="AV3" s="8" t="e">
        <f>AV519-#REF!</f>
        <v>#REF!</v>
      </c>
      <c r="AY3" s="8" t="e">
        <f>AY519-#REF!</f>
        <v>#REF!</v>
      </c>
      <c r="AZ3" s="16" t="e">
        <f>AZ519-#REF!</f>
        <v>#REF!</v>
      </c>
      <c r="BC3" s="354"/>
      <c r="BD3" s="354"/>
      <c r="BE3" s="354"/>
      <c r="BF3" s="354"/>
      <c r="BI3" s="8"/>
      <c r="BJ3" s="8"/>
      <c r="BK3" s="8"/>
      <c r="BL3" s="8"/>
      <c r="BR3" s="17"/>
      <c r="CA3" s="8"/>
      <c r="CB3" s="8"/>
      <c r="CE3" s="18"/>
      <c r="CF3" s="18"/>
      <c r="CG3" s="8"/>
      <c r="CH3" s="8"/>
      <c r="CM3" s="354"/>
      <c r="CN3" s="354"/>
      <c r="CO3" s="8"/>
      <c r="CP3" s="8"/>
      <c r="CQ3" s="19"/>
      <c r="CR3" s="19"/>
      <c r="CS3" s="354"/>
      <c r="CT3" s="354"/>
    </row>
    <row r="4" spans="1:102" ht="10.5" hidden="1" customHeight="1" x14ac:dyDescent="0.25">
      <c r="A4" s="20"/>
      <c r="B4" s="21"/>
      <c r="C4" s="21"/>
      <c r="D4" s="22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4"/>
      <c r="R4" s="24"/>
      <c r="S4" s="1"/>
      <c r="T4" s="1"/>
      <c r="U4" s="25"/>
      <c r="V4" s="25"/>
      <c r="W4" s="26"/>
      <c r="X4" s="27" t="s">
        <v>1</v>
      </c>
      <c r="Y4" s="28"/>
      <c r="Z4" s="29"/>
      <c r="AC4" s="24"/>
      <c r="AD4" s="30"/>
      <c r="AE4" s="31"/>
      <c r="AF4" s="26"/>
      <c r="AG4" s="29"/>
      <c r="AH4" s="32"/>
      <c r="AI4" s="24"/>
      <c r="AJ4" s="24"/>
      <c r="AK4" s="33"/>
      <c r="AL4" s="33"/>
      <c r="AM4" s="34"/>
      <c r="AN4" s="34"/>
      <c r="AO4" s="35"/>
      <c r="AP4" s="36"/>
      <c r="AQ4" s="36"/>
      <c r="AR4" s="36"/>
      <c r="AU4" s="24"/>
      <c r="AV4" s="24"/>
      <c r="AW4" s="24"/>
      <c r="AX4" s="29"/>
      <c r="AY4" s="35"/>
      <c r="AZ4" s="37"/>
      <c r="BA4" s="38"/>
      <c r="BB4" s="38"/>
      <c r="BC4" s="39"/>
      <c r="BD4" s="40"/>
      <c r="BE4" s="38"/>
      <c r="BF4" s="38"/>
      <c r="BG4" s="35"/>
      <c r="BH4" s="41"/>
      <c r="BI4" s="42"/>
      <c r="BJ4" s="42"/>
      <c r="BK4" s="42"/>
      <c r="BL4" s="42"/>
      <c r="BM4" s="43"/>
      <c r="BN4" s="43"/>
      <c r="BQ4" s="29"/>
      <c r="BR4" s="44"/>
      <c r="BS4" s="45"/>
      <c r="BT4" s="19"/>
      <c r="BU4" s="24"/>
      <c r="BV4" s="24"/>
      <c r="BW4" s="26"/>
      <c r="BX4" s="26"/>
      <c r="BY4" s="43"/>
      <c r="BZ4" s="43"/>
      <c r="CA4" s="29"/>
      <c r="CB4" s="29"/>
      <c r="CC4" s="46" t="s">
        <v>2</v>
      </c>
      <c r="CD4" s="46"/>
      <c r="CE4" s="26"/>
      <c r="CF4" s="26"/>
      <c r="CG4" s="47"/>
      <c r="CH4" s="47"/>
      <c r="CI4" s="19"/>
      <c r="CJ4" s="19"/>
      <c r="CK4" s="34"/>
      <c r="CL4" s="34"/>
      <c r="CM4" s="19"/>
      <c r="CN4" s="19"/>
      <c r="CO4" s="19"/>
      <c r="CP4" s="19"/>
      <c r="CQ4" s="48"/>
      <c r="CR4" s="48"/>
      <c r="CS4" s="49"/>
      <c r="CT4" s="50"/>
      <c r="CU4" s="50"/>
      <c r="CV4" s="50"/>
    </row>
    <row r="5" spans="1:102" s="51" customFormat="1" ht="9" hidden="1" customHeight="1" x14ac:dyDescent="0.25">
      <c r="B5" s="52"/>
      <c r="C5" s="52"/>
      <c r="D5" s="53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24"/>
      <c r="R5" s="24"/>
      <c r="S5" s="8"/>
      <c r="T5" s="8"/>
      <c r="U5" s="25"/>
      <c r="V5" s="25"/>
      <c r="W5" s="26"/>
      <c r="X5" s="26"/>
      <c r="Y5" s="29"/>
      <c r="Z5" s="29"/>
      <c r="AA5" s="4"/>
      <c r="AB5" s="4"/>
      <c r="AC5" s="24"/>
      <c r="AD5" s="24"/>
      <c r="AE5" s="26"/>
      <c r="AF5" s="26"/>
      <c r="AG5" s="29"/>
      <c r="AH5" s="55" t="s">
        <v>3</v>
      </c>
      <c r="AI5" s="24"/>
      <c r="AJ5" s="24"/>
      <c r="AK5" s="33"/>
      <c r="AL5" s="33"/>
      <c r="AM5" s="34"/>
      <c r="AN5" s="34"/>
      <c r="AO5" s="35"/>
      <c r="AP5" s="36"/>
      <c r="AQ5" s="36"/>
      <c r="AR5" s="36"/>
      <c r="AS5" s="4"/>
      <c r="AT5" s="4"/>
      <c r="AU5" s="24"/>
      <c r="AV5" s="24"/>
      <c r="AW5" s="24"/>
      <c r="AX5" s="29"/>
      <c r="AY5" s="35"/>
      <c r="AZ5" s="37"/>
      <c r="BA5" s="38"/>
      <c r="BB5" s="38"/>
      <c r="BC5" s="39"/>
      <c r="BD5" s="40"/>
      <c r="BE5" s="38"/>
      <c r="BF5" s="38"/>
      <c r="BG5" s="35"/>
      <c r="BH5" s="41"/>
      <c r="BI5" s="42"/>
      <c r="BJ5" s="42"/>
      <c r="BK5" s="42"/>
      <c r="BL5" s="42"/>
      <c r="BM5" s="43"/>
      <c r="BN5" s="43"/>
      <c r="BO5" s="4"/>
      <c r="BP5" s="4"/>
      <c r="BQ5" s="29"/>
      <c r="BR5" s="44"/>
      <c r="BS5" s="45"/>
      <c r="BT5" s="19"/>
      <c r="BU5" s="24"/>
      <c r="BV5" s="24"/>
      <c r="BW5" s="26"/>
      <c r="BX5" s="26"/>
      <c r="BY5" s="43"/>
      <c r="BZ5" s="43"/>
      <c r="CA5" s="29"/>
      <c r="CB5" s="29"/>
      <c r="CC5" s="46"/>
      <c r="CD5" s="46"/>
      <c r="CE5" s="26"/>
      <c r="CF5" s="26"/>
      <c r="CG5" s="47"/>
      <c r="CH5" s="47"/>
      <c r="CI5" s="19"/>
      <c r="CJ5" s="19"/>
      <c r="CK5" s="34"/>
      <c r="CL5" s="34"/>
      <c r="CM5" s="19"/>
      <c r="CN5" s="19"/>
      <c r="CO5" s="19"/>
      <c r="CP5" s="19"/>
      <c r="CQ5" s="56"/>
      <c r="CR5" s="56"/>
      <c r="CS5" s="49"/>
      <c r="CT5" s="50"/>
      <c r="CU5" s="50"/>
      <c r="CV5" s="50"/>
    </row>
    <row r="6" spans="1:102" s="57" customFormat="1" ht="75" customHeight="1" x14ac:dyDescent="0.25">
      <c r="A6" s="342" t="s">
        <v>4</v>
      </c>
      <c r="B6" s="343" t="s">
        <v>5</v>
      </c>
      <c r="C6" s="343" t="s">
        <v>6</v>
      </c>
      <c r="D6" s="345" t="s">
        <v>7</v>
      </c>
      <c r="E6" s="348" t="s">
        <v>8</v>
      </c>
      <c r="F6" s="348" t="s">
        <v>9</v>
      </c>
      <c r="G6" s="333" t="s">
        <v>10</v>
      </c>
      <c r="H6" s="336" t="s">
        <v>11</v>
      </c>
      <c r="I6" s="336" t="s">
        <v>12</v>
      </c>
      <c r="J6" s="339"/>
      <c r="K6" s="336"/>
      <c r="L6" s="336" t="s">
        <v>13</v>
      </c>
      <c r="M6" s="330" t="s">
        <v>14</v>
      </c>
      <c r="N6" s="331"/>
      <c r="O6" s="331"/>
      <c r="P6" s="332"/>
      <c r="Q6" s="311" t="s">
        <v>15</v>
      </c>
      <c r="R6" s="312"/>
      <c r="S6" s="311" t="s">
        <v>16</v>
      </c>
      <c r="T6" s="312"/>
      <c r="U6" s="311" t="s">
        <v>17</v>
      </c>
      <c r="V6" s="312"/>
      <c r="W6" s="311" t="s">
        <v>18</v>
      </c>
      <c r="X6" s="312"/>
      <c r="Y6" s="322" t="s">
        <v>19</v>
      </c>
      <c r="Z6" s="323"/>
      <c r="AA6" s="311" t="s">
        <v>20</v>
      </c>
      <c r="AB6" s="312"/>
      <c r="AC6" s="311" t="s">
        <v>21</v>
      </c>
      <c r="AD6" s="312"/>
      <c r="AE6" s="311" t="s">
        <v>22</v>
      </c>
      <c r="AF6" s="312"/>
      <c r="AG6" s="328" t="s">
        <v>23</v>
      </c>
      <c r="AH6" s="328"/>
      <c r="AI6" s="329" t="s">
        <v>24</v>
      </c>
      <c r="AJ6" s="329"/>
      <c r="AK6" s="311" t="s">
        <v>25</v>
      </c>
      <c r="AL6" s="312"/>
      <c r="AM6" s="322" t="s">
        <v>26</v>
      </c>
      <c r="AN6" s="323"/>
      <c r="AO6" s="324" t="s">
        <v>27</v>
      </c>
      <c r="AP6" s="325"/>
      <c r="AQ6" s="326" t="s">
        <v>28</v>
      </c>
      <c r="AR6" s="327"/>
      <c r="AS6" s="311" t="s">
        <v>29</v>
      </c>
      <c r="AT6" s="312"/>
      <c r="AU6" s="311" t="s">
        <v>30</v>
      </c>
      <c r="AV6" s="312"/>
      <c r="AW6" s="316" t="s">
        <v>31</v>
      </c>
      <c r="AX6" s="317"/>
      <c r="AY6" s="311" t="s">
        <v>32</v>
      </c>
      <c r="AZ6" s="312"/>
      <c r="BA6" s="311" t="s">
        <v>33</v>
      </c>
      <c r="BB6" s="312"/>
      <c r="BC6" s="311" t="s">
        <v>34</v>
      </c>
      <c r="BD6" s="312"/>
      <c r="BE6" s="318" t="s">
        <v>35</v>
      </c>
      <c r="BF6" s="319"/>
      <c r="BG6" s="311" t="s">
        <v>36</v>
      </c>
      <c r="BH6" s="312"/>
      <c r="BI6" s="316" t="s">
        <v>37</v>
      </c>
      <c r="BJ6" s="317"/>
      <c r="BK6" s="316" t="s">
        <v>38</v>
      </c>
      <c r="BL6" s="317"/>
      <c r="BM6" s="311" t="s">
        <v>39</v>
      </c>
      <c r="BN6" s="312"/>
      <c r="BO6" s="311" t="s">
        <v>40</v>
      </c>
      <c r="BP6" s="312"/>
      <c r="BQ6" s="311" t="s">
        <v>41</v>
      </c>
      <c r="BR6" s="312"/>
      <c r="BS6" s="316" t="s">
        <v>42</v>
      </c>
      <c r="BT6" s="317"/>
      <c r="BU6" s="311" t="s">
        <v>43</v>
      </c>
      <c r="BV6" s="312"/>
      <c r="BW6" s="311" t="s">
        <v>44</v>
      </c>
      <c r="BX6" s="312"/>
      <c r="BY6" s="316" t="s">
        <v>45</v>
      </c>
      <c r="BZ6" s="317"/>
      <c r="CA6" s="316" t="s">
        <v>46</v>
      </c>
      <c r="CB6" s="317"/>
      <c r="CC6" s="316" t="s">
        <v>47</v>
      </c>
      <c r="CD6" s="317"/>
      <c r="CE6" s="318" t="s">
        <v>48</v>
      </c>
      <c r="CF6" s="319"/>
      <c r="CG6" s="320" t="s">
        <v>49</v>
      </c>
      <c r="CH6" s="321"/>
      <c r="CI6" s="311" t="s">
        <v>50</v>
      </c>
      <c r="CJ6" s="312"/>
      <c r="CK6" s="311" t="s">
        <v>51</v>
      </c>
      <c r="CL6" s="315"/>
      <c r="CM6" s="316" t="s">
        <v>52</v>
      </c>
      <c r="CN6" s="317"/>
      <c r="CO6" s="316" t="s">
        <v>53</v>
      </c>
      <c r="CP6" s="317"/>
      <c r="CQ6" s="316" t="s">
        <v>54</v>
      </c>
      <c r="CR6" s="317"/>
      <c r="CS6" s="316" t="s">
        <v>55</v>
      </c>
      <c r="CT6" s="317"/>
      <c r="CU6" s="311" t="s">
        <v>56</v>
      </c>
      <c r="CV6" s="312"/>
      <c r="CW6" s="313" t="s">
        <v>57</v>
      </c>
      <c r="CX6" s="313"/>
    </row>
    <row r="7" spans="1:102" s="61" customFormat="1" ht="16.5" hidden="1" customHeight="1" x14ac:dyDescent="0.25">
      <c r="A7" s="342"/>
      <c r="B7" s="343"/>
      <c r="C7" s="343"/>
      <c r="D7" s="346"/>
      <c r="E7" s="349"/>
      <c r="F7" s="349"/>
      <c r="G7" s="334"/>
      <c r="H7" s="337"/>
      <c r="I7" s="337"/>
      <c r="J7" s="340"/>
      <c r="K7" s="337"/>
      <c r="L7" s="337"/>
      <c r="M7" s="58"/>
      <c r="N7" s="59"/>
      <c r="O7" s="59"/>
      <c r="P7" s="59"/>
      <c r="Q7" s="303">
        <v>270005</v>
      </c>
      <c r="R7" s="304"/>
      <c r="S7" s="303">
        <v>270004</v>
      </c>
      <c r="T7" s="304"/>
      <c r="U7" s="303">
        <v>270148</v>
      </c>
      <c r="V7" s="304"/>
      <c r="W7" s="303">
        <v>270007</v>
      </c>
      <c r="X7" s="304"/>
      <c r="Y7" s="303">
        <v>270008</v>
      </c>
      <c r="Z7" s="304"/>
      <c r="AA7" s="303">
        <v>270149</v>
      </c>
      <c r="AB7" s="304"/>
      <c r="AC7" s="314">
        <v>270015</v>
      </c>
      <c r="AD7" s="304"/>
      <c r="AE7" s="303">
        <v>270042</v>
      </c>
      <c r="AF7" s="314"/>
      <c r="AG7" s="308">
        <v>270017</v>
      </c>
      <c r="AH7" s="308"/>
      <c r="AI7" s="309">
        <v>270018</v>
      </c>
      <c r="AJ7" s="310"/>
      <c r="AK7" s="303">
        <v>270053</v>
      </c>
      <c r="AL7" s="304"/>
      <c r="AM7" s="303">
        <v>270008</v>
      </c>
      <c r="AN7" s="304"/>
      <c r="AO7" s="303">
        <v>270057</v>
      </c>
      <c r="AP7" s="304"/>
      <c r="AQ7" s="60"/>
      <c r="AR7" s="60"/>
      <c r="AS7" s="303">
        <v>270116</v>
      </c>
      <c r="AT7" s="304"/>
      <c r="AU7" s="303">
        <v>270034</v>
      </c>
      <c r="AV7" s="304"/>
      <c r="AW7" s="303">
        <v>270168</v>
      </c>
      <c r="AX7" s="304"/>
      <c r="AY7" s="303">
        <v>270050</v>
      </c>
      <c r="AZ7" s="304"/>
      <c r="BA7" s="303">
        <v>270056</v>
      </c>
      <c r="BB7" s="304"/>
      <c r="BC7" s="303">
        <v>270054</v>
      </c>
      <c r="BD7" s="304"/>
      <c r="BE7" s="303">
        <v>270068</v>
      </c>
      <c r="BF7" s="304"/>
      <c r="BG7" s="303">
        <v>270146</v>
      </c>
      <c r="BH7" s="304"/>
      <c r="BI7" s="303">
        <v>270088</v>
      </c>
      <c r="BJ7" s="304"/>
      <c r="BK7" s="303">
        <v>270091</v>
      </c>
      <c r="BL7" s="304"/>
      <c r="BM7" s="303">
        <v>270040</v>
      </c>
      <c r="BN7" s="304"/>
      <c r="BO7" s="303">
        <v>270041</v>
      </c>
      <c r="BP7" s="304"/>
      <c r="BQ7" s="303">
        <v>270021</v>
      </c>
      <c r="BR7" s="304"/>
      <c r="BS7" s="303">
        <v>270170</v>
      </c>
      <c r="BT7" s="304"/>
      <c r="BU7" s="303">
        <v>270098</v>
      </c>
      <c r="BV7" s="304"/>
      <c r="BW7" s="303">
        <v>270134</v>
      </c>
      <c r="BX7" s="304"/>
      <c r="BY7" s="303">
        <v>270087</v>
      </c>
      <c r="BZ7" s="304"/>
      <c r="CA7" s="303">
        <v>270169</v>
      </c>
      <c r="CB7" s="304"/>
      <c r="CC7" s="303">
        <v>270155</v>
      </c>
      <c r="CD7" s="304"/>
      <c r="CE7" s="303">
        <v>270156</v>
      </c>
      <c r="CF7" s="304"/>
      <c r="CG7" s="303">
        <v>270052</v>
      </c>
      <c r="CH7" s="304"/>
      <c r="CI7" s="303">
        <v>270167</v>
      </c>
      <c r="CJ7" s="304"/>
      <c r="CK7" s="303">
        <v>270069</v>
      </c>
      <c r="CL7" s="304"/>
      <c r="CM7" s="303">
        <v>270095</v>
      </c>
      <c r="CN7" s="304"/>
      <c r="CO7" s="303">
        <v>270171</v>
      </c>
      <c r="CP7" s="304"/>
      <c r="CQ7" s="303">
        <v>270065</v>
      </c>
      <c r="CR7" s="304"/>
      <c r="CS7" s="303">
        <v>270089</v>
      </c>
      <c r="CT7" s="304"/>
      <c r="CU7" s="303">
        <v>270239</v>
      </c>
      <c r="CV7" s="304"/>
      <c r="CW7" s="305"/>
      <c r="CX7" s="305"/>
    </row>
    <row r="8" spans="1:102" s="57" customFormat="1" ht="15.75" hidden="1" customHeight="1" x14ac:dyDescent="0.25">
      <c r="A8" s="342"/>
      <c r="B8" s="343"/>
      <c r="C8" s="343"/>
      <c r="D8" s="346"/>
      <c r="E8" s="349"/>
      <c r="F8" s="349"/>
      <c r="G8" s="334"/>
      <c r="H8" s="337"/>
      <c r="I8" s="337"/>
      <c r="J8" s="340"/>
      <c r="K8" s="337"/>
      <c r="L8" s="337"/>
      <c r="M8" s="306" t="s">
        <v>58</v>
      </c>
      <c r="N8" s="307"/>
      <c r="O8" s="307"/>
      <c r="P8" s="307"/>
      <c r="Q8" s="296" t="s">
        <v>59</v>
      </c>
      <c r="R8" s="297"/>
      <c r="S8" s="296" t="s">
        <v>60</v>
      </c>
      <c r="T8" s="297"/>
      <c r="U8" s="296" t="s">
        <v>61</v>
      </c>
      <c r="V8" s="297"/>
      <c r="W8" s="296" t="s">
        <v>62</v>
      </c>
      <c r="X8" s="297"/>
      <c r="Y8" s="296" t="s">
        <v>63</v>
      </c>
      <c r="Z8" s="297"/>
      <c r="AA8" s="296" t="s">
        <v>64</v>
      </c>
      <c r="AB8" s="298"/>
      <c r="AC8" s="296" t="s">
        <v>65</v>
      </c>
      <c r="AD8" s="298"/>
      <c r="AE8" s="296" t="s">
        <v>66</v>
      </c>
      <c r="AF8" s="297"/>
      <c r="AG8" s="299" t="s">
        <v>67</v>
      </c>
      <c r="AH8" s="299"/>
      <c r="AI8" s="300" t="s">
        <v>68</v>
      </c>
      <c r="AJ8" s="300"/>
      <c r="AK8" s="301" t="s">
        <v>69</v>
      </c>
      <c r="AL8" s="302"/>
      <c r="AM8" s="296" t="s">
        <v>63</v>
      </c>
      <c r="AN8" s="297"/>
      <c r="AO8" s="296" t="s">
        <v>70</v>
      </c>
      <c r="AP8" s="297"/>
      <c r="AQ8" s="62"/>
      <c r="AR8" s="62"/>
      <c r="AS8" s="296" t="s">
        <v>71</v>
      </c>
      <c r="AT8" s="297"/>
      <c r="AU8" s="296" t="s">
        <v>72</v>
      </c>
      <c r="AV8" s="297"/>
      <c r="AW8" s="296" t="s">
        <v>73</v>
      </c>
      <c r="AX8" s="297"/>
      <c r="AY8" s="296" t="s">
        <v>74</v>
      </c>
      <c r="AZ8" s="297"/>
      <c r="BA8" s="296" t="s">
        <v>75</v>
      </c>
      <c r="BB8" s="297"/>
      <c r="BC8" s="296" t="s">
        <v>76</v>
      </c>
      <c r="BD8" s="297"/>
      <c r="BE8" s="296" t="s">
        <v>77</v>
      </c>
      <c r="BF8" s="297"/>
      <c r="BG8" s="296" t="s">
        <v>78</v>
      </c>
      <c r="BH8" s="297"/>
      <c r="BI8" s="296" t="s">
        <v>79</v>
      </c>
      <c r="BJ8" s="297"/>
      <c r="BK8" s="296" t="s">
        <v>80</v>
      </c>
      <c r="BL8" s="297"/>
      <c r="BM8" s="296" t="s">
        <v>81</v>
      </c>
      <c r="BN8" s="297"/>
      <c r="BO8" s="296" t="s">
        <v>82</v>
      </c>
      <c r="BP8" s="297"/>
      <c r="BQ8" s="296" t="s">
        <v>83</v>
      </c>
      <c r="BR8" s="297"/>
      <c r="BS8" s="296" t="s">
        <v>84</v>
      </c>
      <c r="BT8" s="297"/>
      <c r="BU8" s="296" t="s">
        <v>85</v>
      </c>
      <c r="BV8" s="297"/>
      <c r="BW8" s="296" t="s">
        <v>86</v>
      </c>
      <c r="BX8" s="297"/>
      <c r="BY8" s="296" t="s">
        <v>87</v>
      </c>
      <c r="BZ8" s="297"/>
      <c r="CA8" s="296" t="s">
        <v>88</v>
      </c>
      <c r="CB8" s="297"/>
      <c r="CC8" s="296" t="s">
        <v>89</v>
      </c>
      <c r="CD8" s="297"/>
      <c r="CE8" s="296" t="s">
        <v>90</v>
      </c>
      <c r="CF8" s="297"/>
      <c r="CG8" s="296" t="s">
        <v>91</v>
      </c>
      <c r="CH8" s="297"/>
      <c r="CI8" s="296" t="s">
        <v>92</v>
      </c>
      <c r="CJ8" s="297"/>
      <c r="CK8" s="296" t="s">
        <v>93</v>
      </c>
      <c r="CL8" s="297"/>
      <c r="CM8" s="296" t="s">
        <v>94</v>
      </c>
      <c r="CN8" s="297"/>
      <c r="CO8" s="296" t="s">
        <v>95</v>
      </c>
      <c r="CP8" s="297"/>
      <c r="CQ8" s="296" t="s">
        <v>96</v>
      </c>
      <c r="CR8" s="297"/>
      <c r="CS8" s="296" t="s">
        <v>97</v>
      </c>
      <c r="CT8" s="298"/>
      <c r="CU8" s="296" t="s">
        <v>98</v>
      </c>
      <c r="CV8" s="298"/>
      <c r="CW8" s="63"/>
      <c r="CX8" s="63"/>
    </row>
    <row r="9" spans="1:102" s="57" customFormat="1" ht="13.5" hidden="1" customHeight="1" thickBot="1" x14ac:dyDescent="0.3">
      <c r="A9" s="342"/>
      <c r="B9" s="343"/>
      <c r="C9" s="343"/>
      <c r="D9" s="346"/>
      <c r="E9" s="349"/>
      <c r="F9" s="349"/>
      <c r="G9" s="334"/>
      <c r="H9" s="337"/>
      <c r="I9" s="337"/>
      <c r="J9" s="340"/>
      <c r="K9" s="337"/>
      <c r="L9" s="337"/>
      <c r="M9" s="292" t="s">
        <v>99</v>
      </c>
      <c r="N9" s="292" t="s">
        <v>100</v>
      </c>
      <c r="O9" s="292" t="s">
        <v>101</v>
      </c>
      <c r="P9" s="294" t="s">
        <v>102</v>
      </c>
      <c r="Q9" s="289" t="s">
        <v>103</v>
      </c>
      <c r="R9" s="289"/>
      <c r="S9" s="289" t="s">
        <v>103</v>
      </c>
      <c r="T9" s="289"/>
      <c r="U9" s="289" t="s">
        <v>103</v>
      </c>
      <c r="V9" s="289"/>
      <c r="W9" s="287" t="s">
        <v>104</v>
      </c>
      <c r="X9" s="288"/>
      <c r="Y9" s="290" t="s">
        <v>103</v>
      </c>
      <c r="Z9" s="291"/>
      <c r="AA9" s="64"/>
      <c r="AB9" s="64"/>
      <c r="AC9" s="64"/>
      <c r="AD9" s="64"/>
      <c r="AE9" s="64"/>
      <c r="AF9" s="64"/>
      <c r="AG9" s="65"/>
      <c r="AH9" s="65"/>
      <c r="AI9" s="66"/>
      <c r="AJ9" s="66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287" t="s">
        <v>105</v>
      </c>
      <c r="BN9" s="288"/>
      <c r="BO9" s="287" t="s">
        <v>105</v>
      </c>
      <c r="BP9" s="288"/>
      <c r="BQ9" s="287" t="s">
        <v>105</v>
      </c>
      <c r="BR9" s="288"/>
      <c r="BS9" s="287" t="s">
        <v>105</v>
      </c>
      <c r="BT9" s="288"/>
      <c r="BU9" s="287" t="s">
        <v>106</v>
      </c>
      <c r="BV9" s="288"/>
      <c r="BW9" s="287" t="s">
        <v>106</v>
      </c>
      <c r="BX9" s="288"/>
      <c r="BY9" s="287" t="s">
        <v>105</v>
      </c>
      <c r="BZ9" s="288"/>
      <c r="CA9" s="287" t="s">
        <v>107</v>
      </c>
      <c r="CB9" s="288"/>
      <c r="CC9" s="287" t="s">
        <v>105</v>
      </c>
      <c r="CD9" s="288"/>
      <c r="CE9" s="287" t="s">
        <v>105</v>
      </c>
      <c r="CF9" s="288"/>
      <c r="CG9" s="67" t="s">
        <v>107</v>
      </c>
      <c r="CH9" s="64"/>
      <c r="CI9" s="287" t="s">
        <v>105</v>
      </c>
      <c r="CJ9" s="288"/>
      <c r="CK9" s="287" t="s">
        <v>105</v>
      </c>
      <c r="CL9" s="288"/>
      <c r="CM9" s="287" t="s">
        <v>105</v>
      </c>
      <c r="CN9" s="288"/>
      <c r="CO9" s="287" t="s">
        <v>105</v>
      </c>
      <c r="CP9" s="288"/>
      <c r="CQ9" s="287" t="s">
        <v>108</v>
      </c>
      <c r="CR9" s="288"/>
      <c r="CS9" s="287" t="s">
        <v>108</v>
      </c>
      <c r="CT9" s="288"/>
      <c r="CU9" s="287" t="s">
        <v>103</v>
      </c>
      <c r="CV9" s="288"/>
      <c r="CW9" s="63"/>
      <c r="CX9" s="63"/>
    </row>
    <row r="10" spans="1:102" s="72" customFormat="1" ht="45" customHeight="1" x14ac:dyDescent="0.2">
      <c r="A10" s="342"/>
      <c r="B10" s="344"/>
      <c r="C10" s="344"/>
      <c r="D10" s="347"/>
      <c r="E10" s="350"/>
      <c r="F10" s="350"/>
      <c r="G10" s="335"/>
      <c r="H10" s="338"/>
      <c r="I10" s="338"/>
      <c r="J10" s="341"/>
      <c r="K10" s="338"/>
      <c r="L10" s="338"/>
      <c r="M10" s="293"/>
      <c r="N10" s="293"/>
      <c r="O10" s="293"/>
      <c r="P10" s="295"/>
      <c r="Q10" s="68" t="s">
        <v>109</v>
      </c>
      <c r="R10" s="68" t="s">
        <v>110</v>
      </c>
      <c r="S10" s="68" t="s">
        <v>109</v>
      </c>
      <c r="T10" s="68" t="s">
        <v>110</v>
      </c>
      <c r="U10" s="68" t="s">
        <v>109</v>
      </c>
      <c r="V10" s="68" t="s">
        <v>110</v>
      </c>
      <c r="W10" s="68" t="s">
        <v>109</v>
      </c>
      <c r="X10" s="68" t="s">
        <v>110</v>
      </c>
      <c r="Y10" s="68" t="s">
        <v>109</v>
      </c>
      <c r="Z10" s="68" t="s">
        <v>110</v>
      </c>
      <c r="AA10" s="68" t="s">
        <v>109</v>
      </c>
      <c r="AB10" s="68" t="s">
        <v>110</v>
      </c>
      <c r="AC10" s="68" t="s">
        <v>109</v>
      </c>
      <c r="AD10" s="68" t="s">
        <v>110</v>
      </c>
      <c r="AE10" s="68" t="s">
        <v>109</v>
      </c>
      <c r="AF10" s="69" t="s">
        <v>110</v>
      </c>
      <c r="AG10" s="68" t="s">
        <v>109</v>
      </c>
      <c r="AH10" s="68" t="s">
        <v>110</v>
      </c>
      <c r="AI10" s="70" t="s">
        <v>109</v>
      </c>
      <c r="AJ10" s="68" t="s">
        <v>110</v>
      </c>
      <c r="AK10" s="68" t="s">
        <v>109</v>
      </c>
      <c r="AL10" s="68" t="s">
        <v>110</v>
      </c>
      <c r="AM10" s="68" t="s">
        <v>109</v>
      </c>
      <c r="AN10" s="68" t="s">
        <v>110</v>
      </c>
      <c r="AO10" s="68" t="s">
        <v>109</v>
      </c>
      <c r="AP10" s="68" t="s">
        <v>110</v>
      </c>
      <c r="AQ10" s="68" t="s">
        <v>109</v>
      </c>
      <c r="AR10" s="68" t="s">
        <v>110</v>
      </c>
      <c r="AS10" s="68" t="s">
        <v>109</v>
      </c>
      <c r="AT10" s="68" t="s">
        <v>110</v>
      </c>
      <c r="AU10" s="68" t="s">
        <v>109</v>
      </c>
      <c r="AV10" s="68" t="s">
        <v>110</v>
      </c>
      <c r="AW10" s="68" t="s">
        <v>109</v>
      </c>
      <c r="AX10" s="68" t="s">
        <v>110</v>
      </c>
      <c r="AY10" s="68" t="s">
        <v>109</v>
      </c>
      <c r="AZ10" s="68" t="s">
        <v>110</v>
      </c>
      <c r="BA10" s="68" t="s">
        <v>109</v>
      </c>
      <c r="BB10" s="68" t="s">
        <v>110</v>
      </c>
      <c r="BC10" s="68" t="s">
        <v>109</v>
      </c>
      <c r="BD10" s="68" t="s">
        <v>110</v>
      </c>
      <c r="BE10" s="68" t="s">
        <v>109</v>
      </c>
      <c r="BF10" s="68" t="s">
        <v>110</v>
      </c>
      <c r="BG10" s="68" t="s">
        <v>109</v>
      </c>
      <c r="BH10" s="68" t="s">
        <v>110</v>
      </c>
      <c r="BI10" s="68" t="s">
        <v>109</v>
      </c>
      <c r="BJ10" s="68" t="s">
        <v>110</v>
      </c>
      <c r="BK10" s="68" t="s">
        <v>109</v>
      </c>
      <c r="BL10" s="68" t="s">
        <v>110</v>
      </c>
      <c r="BM10" s="68" t="s">
        <v>109</v>
      </c>
      <c r="BN10" s="68" t="s">
        <v>110</v>
      </c>
      <c r="BO10" s="68" t="s">
        <v>109</v>
      </c>
      <c r="BP10" s="68" t="s">
        <v>110</v>
      </c>
      <c r="BQ10" s="68" t="s">
        <v>109</v>
      </c>
      <c r="BR10" s="68" t="s">
        <v>110</v>
      </c>
      <c r="BS10" s="68" t="s">
        <v>109</v>
      </c>
      <c r="BT10" s="68" t="s">
        <v>110</v>
      </c>
      <c r="BU10" s="68" t="s">
        <v>109</v>
      </c>
      <c r="BV10" s="68" t="s">
        <v>110</v>
      </c>
      <c r="BW10" s="68" t="s">
        <v>109</v>
      </c>
      <c r="BX10" s="68" t="s">
        <v>110</v>
      </c>
      <c r="BY10" s="68" t="s">
        <v>109</v>
      </c>
      <c r="BZ10" s="68" t="s">
        <v>110</v>
      </c>
      <c r="CA10" s="68" t="s">
        <v>109</v>
      </c>
      <c r="CB10" s="68" t="s">
        <v>110</v>
      </c>
      <c r="CC10" s="68" t="s">
        <v>109</v>
      </c>
      <c r="CD10" s="68" t="s">
        <v>110</v>
      </c>
      <c r="CE10" s="68" t="s">
        <v>109</v>
      </c>
      <c r="CF10" s="68" t="s">
        <v>110</v>
      </c>
      <c r="CG10" s="68" t="s">
        <v>109</v>
      </c>
      <c r="CH10" s="68" t="s">
        <v>110</v>
      </c>
      <c r="CI10" s="71" t="s">
        <v>111</v>
      </c>
      <c r="CJ10" s="71" t="s">
        <v>110</v>
      </c>
      <c r="CK10" s="68" t="s">
        <v>109</v>
      </c>
      <c r="CL10" s="68" t="s">
        <v>110</v>
      </c>
      <c r="CM10" s="68" t="s">
        <v>109</v>
      </c>
      <c r="CN10" s="68" t="s">
        <v>110</v>
      </c>
      <c r="CO10" s="68" t="s">
        <v>109</v>
      </c>
      <c r="CP10" s="68" t="s">
        <v>110</v>
      </c>
      <c r="CQ10" s="68" t="s">
        <v>109</v>
      </c>
      <c r="CR10" s="68" t="s">
        <v>110</v>
      </c>
      <c r="CS10" s="68" t="s">
        <v>109</v>
      </c>
      <c r="CT10" s="68" t="s">
        <v>110</v>
      </c>
      <c r="CU10" s="68" t="s">
        <v>109</v>
      </c>
      <c r="CV10" s="68" t="s">
        <v>110</v>
      </c>
      <c r="CW10" s="68" t="s">
        <v>109</v>
      </c>
      <c r="CX10" s="68" t="s">
        <v>110</v>
      </c>
    </row>
    <row r="11" spans="1:102" s="57" customFormat="1" ht="20.25" customHeight="1" x14ac:dyDescent="0.25">
      <c r="A11" s="63"/>
      <c r="B11" s="73"/>
      <c r="C11" s="73"/>
      <c r="D11" s="74" t="s">
        <v>112</v>
      </c>
      <c r="E11" s="75"/>
      <c r="F11" s="76"/>
      <c r="G11" s="77"/>
      <c r="H11" s="77"/>
      <c r="I11" s="78"/>
      <c r="J11" s="78"/>
      <c r="K11" s="78"/>
      <c r="L11" s="78"/>
      <c r="M11" s="79"/>
      <c r="N11" s="79"/>
      <c r="O11" s="79"/>
      <c r="P11" s="80"/>
      <c r="Q11" s="81"/>
      <c r="R11" s="82">
        <v>1.1000000000000001</v>
      </c>
      <c r="S11" s="82"/>
      <c r="T11" s="82">
        <v>1.1000000000000001</v>
      </c>
      <c r="U11" s="82"/>
      <c r="V11" s="82">
        <v>1.4</v>
      </c>
      <c r="W11" s="82"/>
      <c r="X11" s="82">
        <v>1.4</v>
      </c>
      <c r="Y11" s="82"/>
      <c r="Z11" s="82">
        <v>1.4</v>
      </c>
      <c r="AA11" s="82"/>
      <c r="AB11" s="82">
        <v>1.1000000000000001</v>
      </c>
      <c r="AC11" s="82"/>
      <c r="AD11" s="82">
        <v>1.1000000000000001</v>
      </c>
      <c r="AE11" s="82"/>
      <c r="AF11" s="83">
        <v>1.1000000000000001</v>
      </c>
      <c r="AG11" s="84"/>
      <c r="AH11" s="82">
        <v>1.1000000000000001</v>
      </c>
      <c r="AI11" s="85"/>
      <c r="AJ11" s="82">
        <v>1.3</v>
      </c>
      <c r="AK11" s="82"/>
      <c r="AL11" s="82">
        <v>1.3</v>
      </c>
      <c r="AM11" s="82"/>
      <c r="AN11" s="82">
        <v>1.4</v>
      </c>
      <c r="AO11" s="82"/>
      <c r="AP11" s="82">
        <v>1.1000000000000001</v>
      </c>
      <c r="AQ11" s="82"/>
      <c r="AR11" s="82"/>
      <c r="AS11" s="82"/>
      <c r="AT11" s="82">
        <v>0.9</v>
      </c>
      <c r="AU11" s="82"/>
      <c r="AV11" s="82">
        <v>1.2</v>
      </c>
      <c r="AW11" s="82"/>
      <c r="AX11" s="82">
        <v>1.2</v>
      </c>
      <c r="AY11" s="82"/>
      <c r="AZ11" s="82">
        <v>1.1000000000000001</v>
      </c>
      <c r="BA11" s="82"/>
      <c r="BB11" s="82">
        <v>1</v>
      </c>
      <c r="BC11" s="82"/>
      <c r="BD11" s="82">
        <v>1</v>
      </c>
      <c r="BE11" s="82"/>
      <c r="BF11" s="82">
        <v>1.2</v>
      </c>
      <c r="BG11" s="82"/>
      <c r="BH11" s="82">
        <v>0.9</v>
      </c>
      <c r="BI11" s="82"/>
      <c r="BJ11" s="82">
        <v>1.2</v>
      </c>
      <c r="BK11" s="82"/>
      <c r="BL11" s="83">
        <v>1.2</v>
      </c>
      <c r="BM11" s="82"/>
      <c r="BN11" s="82">
        <v>1</v>
      </c>
      <c r="BO11" s="82"/>
      <c r="BP11" s="82">
        <v>1</v>
      </c>
      <c r="BQ11" s="82"/>
      <c r="BR11" s="82">
        <v>1</v>
      </c>
      <c r="BS11" s="82"/>
      <c r="BT11" s="82">
        <v>1</v>
      </c>
      <c r="BU11" s="82"/>
      <c r="BV11" s="82">
        <v>0.8</v>
      </c>
      <c r="BW11" s="82"/>
      <c r="BX11" s="82">
        <v>0.8</v>
      </c>
      <c r="BY11" s="82"/>
      <c r="BZ11" s="82">
        <v>1</v>
      </c>
      <c r="CA11" s="82"/>
      <c r="CB11" s="82">
        <v>1.2</v>
      </c>
      <c r="CC11" s="82"/>
      <c r="CD11" s="82">
        <v>1</v>
      </c>
      <c r="CE11" s="82"/>
      <c r="CF11" s="82">
        <v>1</v>
      </c>
      <c r="CG11" s="82"/>
      <c r="CH11" s="82">
        <v>0.9</v>
      </c>
      <c r="CI11" s="82"/>
      <c r="CJ11" s="82">
        <v>1</v>
      </c>
      <c r="CK11" s="82"/>
      <c r="CL11" s="82">
        <v>0.8</v>
      </c>
      <c r="CM11" s="82"/>
      <c r="CN11" s="82">
        <v>1</v>
      </c>
      <c r="CO11" s="82"/>
      <c r="CP11" s="82">
        <v>1</v>
      </c>
      <c r="CQ11" s="82"/>
      <c r="CR11" s="82">
        <v>1</v>
      </c>
      <c r="CS11" s="82"/>
      <c r="CT11" s="83">
        <v>1</v>
      </c>
      <c r="CU11" s="83"/>
      <c r="CV11" s="83">
        <v>1.1000000000000001</v>
      </c>
      <c r="CW11" s="63"/>
      <c r="CX11" s="63"/>
    </row>
    <row r="12" spans="1:102" s="57" customFormat="1" ht="20.25" customHeight="1" x14ac:dyDescent="0.25">
      <c r="A12" s="63"/>
      <c r="B12" s="73"/>
      <c r="C12" s="73"/>
      <c r="D12" s="74" t="s">
        <v>113</v>
      </c>
      <c r="E12" s="75"/>
      <c r="F12" s="76"/>
      <c r="G12" s="77"/>
      <c r="H12" s="77"/>
      <c r="I12" s="78"/>
      <c r="J12" s="78"/>
      <c r="K12" s="78"/>
      <c r="L12" s="78"/>
      <c r="M12" s="79"/>
      <c r="N12" s="79"/>
      <c r="O12" s="79"/>
      <c r="P12" s="80"/>
      <c r="Q12" s="86"/>
      <c r="R12" s="87"/>
      <c r="S12" s="87"/>
      <c r="T12" s="87"/>
      <c r="U12" s="87"/>
      <c r="V12" s="87">
        <v>1.33</v>
      </c>
      <c r="W12" s="87"/>
      <c r="X12" s="87">
        <v>1.33</v>
      </c>
      <c r="Y12" s="87"/>
      <c r="Z12" s="87">
        <v>1.33</v>
      </c>
      <c r="AA12" s="87"/>
      <c r="AB12" s="87"/>
      <c r="AC12" s="87"/>
      <c r="AD12" s="87"/>
      <c r="AE12" s="87"/>
      <c r="AF12" s="88"/>
      <c r="AG12" s="84"/>
      <c r="AH12" s="84"/>
      <c r="AI12" s="89"/>
      <c r="AJ12" s="87">
        <v>1.28</v>
      </c>
      <c r="AK12" s="87"/>
      <c r="AL12" s="87">
        <v>1.28</v>
      </c>
      <c r="AM12" s="87"/>
      <c r="AN12" s="87">
        <v>1.33</v>
      </c>
      <c r="AO12" s="87"/>
      <c r="AP12" s="87"/>
      <c r="AQ12" s="88"/>
      <c r="AR12" s="88"/>
      <c r="AS12" s="88"/>
      <c r="AT12" s="87"/>
      <c r="AU12" s="87"/>
      <c r="AV12" s="87">
        <v>1.1399999999999999</v>
      </c>
      <c r="AW12" s="87"/>
      <c r="AX12" s="87">
        <v>1.1399999999999999</v>
      </c>
      <c r="AY12" s="87"/>
      <c r="AZ12" s="87"/>
      <c r="BA12" s="88"/>
      <c r="BB12" s="87">
        <v>0.96</v>
      </c>
      <c r="BC12" s="87"/>
      <c r="BD12" s="87">
        <v>0.96</v>
      </c>
      <c r="BE12" s="87"/>
      <c r="BF12" s="87">
        <v>1</v>
      </c>
      <c r="BG12" s="87"/>
      <c r="BH12" s="87"/>
      <c r="BI12" s="87"/>
      <c r="BJ12" s="87"/>
      <c r="BK12" s="87"/>
      <c r="BL12" s="88"/>
      <c r="BM12" s="88"/>
      <c r="BN12" s="87"/>
      <c r="BO12" s="88"/>
      <c r="BP12" s="87">
        <v>0.9</v>
      </c>
      <c r="BQ12" s="87"/>
      <c r="BR12" s="87"/>
      <c r="BS12" s="87"/>
      <c r="BT12" s="87"/>
      <c r="BU12" s="88"/>
      <c r="BV12" s="87"/>
      <c r="BW12" s="88"/>
      <c r="BX12" s="87"/>
      <c r="BY12" s="88"/>
      <c r="BZ12" s="87"/>
      <c r="CA12" s="88"/>
      <c r="CB12" s="87">
        <v>1.2</v>
      </c>
      <c r="CC12" s="87"/>
      <c r="CD12" s="87"/>
      <c r="CE12" s="87"/>
      <c r="CF12" s="87"/>
      <c r="CG12" s="88"/>
      <c r="CH12" s="87"/>
      <c r="CI12" s="88"/>
      <c r="CJ12" s="88"/>
      <c r="CK12" s="87"/>
      <c r="CL12" s="87">
        <v>0.9</v>
      </c>
      <c r="CM12" s="90"/>
      <c r="CN12" s="87"/>
      <c r="CO12" s="88"/>
      <c r="CP12" s="87"/>
      <c r="CQ12" s="88"/>
      <c r="CR12" s="87"/>
      <c r="CS12" s="88"/>
      <c r="CT12" s="88"/>
      <c r="CU12" s="88"/>
      <c r="CV12" s="88"/>
      <c r="CW12" s="63"/>
      <c r="CX12" s="63"/>
    </row>
    <row r="13" spans="1:102" s="57" customFormat="1" ht="20.25" customHeight="1" x14ac:dyDescent="0.25">
      <c r="A13" s="63"/>
      <c r="B13" s="73"/>
      <c r="C13" s="73"/>
      <c r="D13" s="74" t="s">
        <v>114</v>
      </c>
      <c r="E13" s="75"/>
      <c r="F13" s="76"/>
      <c r="G13" s="77"/>
      <c r="H13" s="77"/>
      <c r="I13" s="78"/>
      <c r="J13" s="78"/>
      <c r="K13" s="78"/>
      <c r="L13" s="78"/>
      <c r="M13" s="79"/>
      <c r="N13" s="79"/>
      <c r="O13" s="79"/>
      <c r="P13" s="80"/>
      <c r="Q13" s="86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8"/>
      <c r="AG13" s="84"/>
      <c r="AH13" s="84"/>
      <c r="AI13" s="89"/>
      <c r="AJ13" s="82">
        <v>1.3</v>
      </c>
      <c r="AK13" s="87"/>
      <c r="AL13" s="82">
        <v>1.3</v>
      </c>
      <c r="AM13" s="87"/>
      <c r="AN13" s="87"/>
      <c r="AO13" s="87"/>
      <c r="AP13" s="87"/>
      <c r="AQ13" s="88"/>
      <c r="AR13" s="88"/>
      <c r="AS13" s="88"/>
      <c r="AT13" s="87"/>
      <c r="AU13" s="87"/>
      <c r="AV13" s="87"/>
      <c r="AW13" s="87"/>
      <c r="AX13" s="87"/>
      <c r="AY13" s="87"/>
      <c r="AZ13" s="87"/>
      <c r="BA13" s="88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8"/>
      <c r="BM13" s="88"/>
      <c r="BN13" s="87"/>
      <c r="BO13" s="88"/>
      <c r="BP13" s="87"/>
      <c r="BQ13" s="87"/>
      <c r="BR13" s="87"/>
      <c r="BS13" s="87"/>
      <c r="BT13" s="87"/>
      <c r="BU13" s="88"/>
      <c r="BV13" s="87"/>
      <c r="BW13" s="88"/>
      <c r="BX13" s="87"/>
      <c r="BY13" s="88"/>
      <c r="BZ13" s="87"/>
      <c r="CA13" s="88"/>
      <c r="CB13" s="87"/>
      <c r="CC13" s="87"/>
      <c r="CD13" s="87"/>
      <c r="CE13" s="87"/>
      <c r="CF13" s="87"/>
      <c r="CG13" s="88"/>
      <c r="CH13" s="87"/>
      <c r="CI13" s="88"/>
      <c r="CJ13" s="88"/>
      <c r="CK13" s="87"/>
      <c r="CL13" s="87"/>
      <c r="CM13" s="90"/>
      <c r="CN13" s="87"/>
      <c r="CO13" s="88"/>
      <c r="CP13" s="87"/>
      <c r="CQ13" s="88"/>
      <c r="CR13" s="87"/>
      <c r="CS13" s="88"/>
      <c r="CT13" s="88"/>
      <c r="CU13" s="88"/>
      <c r="CV13" s="88"/>
      <c r="CW13" s="63"/>
      <c r="CX13" s="63"/>
    </row>
    <row r="14" spans="1:102" ht="15.75" customHeight="1" x14ac:dyDescent="0.25">
      <c r="A14" s="91">
        <v>1</v>
      </c>
      <c r="B14" s="92"/>
      <c r="C14" s="93" t="s">
        <v>115</v>
      </c>
      <c r="D14" s="94" t="s">
        <v>116</v>
      </c>
      <c r="E14" s="95">
        <v>28004</v>
      </c>
      <c r="F14" s="96">
        <v>29405</v>
      </c>
      <c r="G14" s="97">
        <v>0.5</v>
      </c>
      <c r="H14" s="98"/>
      <c r="I14" s="99"/>
      <c r="J14" s="99"/>
      <c r="K14" s="99"/>
      <c r="L14" s="100"/>
      <c r="M14" s="101"/>
      <c r="N14" s="101"/>
      <c r="O14" s="101"/>
      <c r="P14" s="102"/>
      <c r="Q14" s="103">
        <f>Q15</f>
        <v>0</v>
      </c>
      <c r="R14" s="104">
        <f t="shared" ref="R14:CC14" si="0">R15</f>
        <v>0</v>
      </c>
      <c r="S14" s="104">
        <f t="shared" si="0"/>
        <v>0</v>
      </c>
      <c r="T14" s="104">
        <f t="shared" si="0"/>
        <v>0</v>
      </c>
      <c r="U14" s="104">
        <f t="shared" si="0"/>
        <v>0</v>
      </c>
      <c r="V14" s="104">
        <f t="shared" si="0"/>
        <v>0</v>
      </c>
      <c r="W14" s="104">
        <f t="shared" si="0"/>
        <v>510</v>
      </c>
      <c r="X14" s="104">
        <f t="shared" si="0"/>
        <v>14579915.699999999</v>
      </c>
      <c r="Y14" s="104">
        <f t="shared" si="0"/>
        <v>0</v>
      </c>
      <c r="Z14" s="104">
        <f t="shared" si="0"/>
        <v>0</v>
      </c>
      <c r="AA14" s="104">
        <f t="shared" si="0"/>
        <v>0</v>
      </c>
      <c r="AB14" s="104">
        <f t="shared" si="0"/>
        <v>0</v>
      </c>
      <c r="AC14" s="104">
        <f t="shared" si="0"/>
        <v>0</v>
      </c>
      <c r="AD14" s="104">
        <f t="shared" si="0"/>
        <v>0</v>
      </c>
      <c r="AE14" s="104">
        <f t="shared" si="0"/>
        <v>0</v>
      </c>
      <c r="AF14" s="105">
        <f t="shared" si="0"/>
        <v>0</v>
      </c>
      <c r="AG14" s="104">
        <f t="shared" si="0"/>
        <v>0</v>
      </c>
      <c r="AH14" s="104">
        <f t="shared" si="0"/>
        <v>0</v>
      </c>
      <c r="AI14" s="106">
        <f t="shared" si="0"/>
        <v>0</v>
      </c>
      <c r="AJ14" s="104">
        <f t="shared" si="0"/>
        <v>0</v>
      </c>
      <c r="AK14" s="104">
        <f t="shared" si="0"/>
        <v>80</v>
      </c>
      <c r="AL14" s="104">
        <f t="shared" si="0"/>
        <v>2744454.7199999997</v>
      </c>
      <c r="AM14" s="104">
        <f t="shared" si="0"/>
        <v>0</v>
      </c>
      <c r="AN14" s="104">
        <f t="shared" si="0"/>
        <v>0</v>
      </c>
      <c r="AO14" s="104">
        <f t="shared" si="0"/>
        <v>0</v>
      </c>
      <c r="AP14" s="104">
        <f t="shared" si="0"/>
        <v>0</v>
      </c>
      <c r="AQ14" s="104"/>
      <c r="AR14" s="104"/>
      <c r="AS14" s="104">
        <f t="shared" si="0"/>
        <v>0</v>
      </c>
      <c r="AT14" s="104">
        <f t="shared" si="0"/>
        <v>0</v>
      </c>
      <c r="AU14" s="104">
        <f t="shared" si="0"/>
        <v>0</v>
      </c>
      <c r="AV14" s="104">
        <f t="shared" si="0"/>
        <v>0</v>
      </c>
      <c r="AW14" s="104">
        <f t="shared" si="0"/>
        <v>84</v>
      </c>
      <c r="AX14" s="104">
        <f t="shared" si="0"/>
        <v>2401397.88</v>
      </c>
      <c r="AY14" s="104">
        <f t="shared" si="0"/>
        <v>95</v>
      </c>
      <c r="AZ14" s="104">
        <f t="shared" si="0"/>
        <v>3259039.98</v>
      </c>
      <c r="BA14" s="104">
        <f t="shared" si="0"/>
        <v>0</v>
      </c>
      <c r="BB14" s="104">
        <f t="shared" si="0"/>
        <v>0</v>
      </c>
      <c r="BC14" s="104">
        <f t="shared" si="0"/>
        <v>0</v>
      </c>
      <c r="BD14" s="104">
        <f t="shared" si="0"/>
        <v>0</v>
      </c>
      <c r="BE14" s="104">
        <f t="shared" si="0"/>
        <v>28</v>
      </c>
      <c r="BF14" s="104">
        <f t="shared" si="0"/>
        <v>806873.2</v>
      </c>
      <c r="BG14" s="104">
        <f t="shared" si="0"/>
        <v>0</v>
      </c>
      <c r="BH14" s="104">
        <f t="shared" si="0"/>
        <v>0</v>
      </c>
      <c r="BI14" s="104">
        <f t="shared" si="0"/>
        <v>48</v>
      </c>
      <c r="BJ14" s="104">
        <f t="shared" si="0"/>
        <v>1646672.8319999999</v>
      </c>
      <c r="BK14" s="104">
        <f t="shared" si="0"/>
        <v>50</v>
      </c>
      <c r="BL14" s="104">
        <f t="shared" si="0"/>
        <v>1715284.2</v>
      </c>
      <c r="BM14" s="104">
        <f t="shared" si="0"/>
        <v>0</v>
      </c>
      <c r="BN14" s="104">
        <f t="shared" si="0"/>
        <v>0</v>
      </c>
      <c r="BO14" s="104">
        <f t="shared" si="0"/>
        <v>0</v>
      </c>
      <c r="BP14" s="104">
        <f t="shared" si="0"/>
        <v>0</v>
      </c>
      <c r="BQ14" s="104">
        <f t="shared" si="0"/>
        <v>0</v>
      </c>
      <c r="BR14" s="104">
        <f t="shared" si="0"/>
        <v>0</v>
      </c>
      <c r="BS14" s="104">
        <f t="shared" si="0"/>
        <v>80</v>
      </c>
      <c r="BT14" s="104">
        <f t="shared" si="0"/>
        <v>2744454.7199999997</v>
      </c>
      <c r="BU14" s="104">
        <f t="shared" si="0"/>
        <v>0</v>
      </c>
      <c r="BV14" s="104">
        <f t="shared" si="0"/>
        <v>0</v>
      </c>
      <c r="BW14" s="104">
        <f t="shared" si="0"/>
        <v>0</v>
      </c>
      <c r="BX14" s="104">
        <f t="shared" si="0"/>
        <v>0</v>
      </c>
      <c r="BY14" s="104">
        <f t="shared" si="0"/>
        <v>10</v>
      </c>
      <c r="BZ14" s="104">
        <f t="shared" si="0"/>
        <v>285880.69999999995</v>
      </c>
      <c r="CA14" s="104">
        <f t="shared" si="0"/>
        <v>0</v>
      </c>
      <c r="CB14" s="104">
        <f t="shared" si="0"/>
        <v>0</v>
      </c>
      <c r="CC14" s="104">
        <f t="shared" si="0"/>
        <v>0</v>
      </c>
      <c r="CD14" s="104">
        <f t="shared" ref="CD14:CX14" si="1">CD15</f>
        <v>0</v>
      </c>
      <c r="CE14" s="104">
        <f t="shared" si="1"/>
        <v>10</v>
      </c>
      <c r="CF14" s="104">
        <f t="shared" si="1"/>
        <v>288169</v>
      </c>
      <c r="CG14" s="104">
        <f t="shared" si="1"/>
        <v>0</v>
      </c>
      <c r="CH14" s="104">
        <f t="shared" si="1"/>
        <v>0</v>
      </c>
      <c r="CI14" s="104">
        <f t="shared" si="1"/>
        <v>0</v>
      </c>
      <c r="CJ14" s="104">
        <f t="shared" si="1"/>
        <v>0</v>
      </c>
      <c r="CK14" s="104">
        <f t="shared" si="1"/>
        <v>0</v>
      </c>
      <c r="CL14" s="104">
        <f t="shared" si="1"/>
        <v>0</v>
      </c>
      <c r="CM14" s="104">
        <f t="shared" si="1"/>
        <v>0</v>
      </c>
      <c r="CN14" s="104">
        <f t="shared" si="1"/>
        <v>0</v>
      </c>
      <c r="CO14" s="104">
        <f t="shared" si="1"/>
        <v>0</v>
      </c>
      <c r="CP14" s="104">
        <f t="shared" si="1"/>
        <v>0</v>
      </c>
      <c r="CQ14" s="104">
        <f t="shared" si="1"/>
        <v>0</v>
      </c>
      <c r="CR14" s="104">
        <f t="shared" si="1"/>
        <v>0</v>
      </c>
      <c r="CS14" s="104">
        <f t="shared" si="1"/>
        <v>0</v>
      </c>
      <c r="CT14" s="104">
        <f t="shared" si="1"/>
        <v>0</v>
      </c>
      <c r="CU14" s="104">
        <f t="shared" si="1"/>
        <v>0</v>
      </c>
      <c r="CV14" s="104">
        <f t="shared" si="1"/>
        <v>0</v>
      </c>
      <c r="CW14" s="104">
        <f t="shared" si="1"/>
        <v>995</v>
      </c>
      <c r="CX14" s="104">
        <f t="shared" si="1"/>
        <v>30472142.931999993</v>
      </c>
    </row>
    <row r="15" spans="1:102" s="57" customFormat="1" ht="49.5" customHeight="1" x14ac:dyDescent="0.25">
      <c r="A15" s="63"/>
      <c r="B15" s="267">
        <v>1</v>
      </c>
      <c r="C15" s="117" t="s">
        <v>117</v>
      </c>
      <c r="D15" s="118" t="s">
        <v>118</v>
      </c>
      <c r="E15" s="95">
        <v>28004</v>
      </c>
      <c r="F15" s="96">
        <v>29405</v>
      </c>
      <c r="G15" s="268">
        <v>0.5</v>
      </c>
      <c r="H15" s="110">
        <v>1.4</v>
      </c>
      <c r="I15" s="107"/>
      <c r="J15" s="108"/>
      <c r="K15" s="108"/>
      <c r="L15" s="63"/>
      <c r="M15" s="120">
        <v>1.4</v>
      </c>
      <c r="N15" s="120">
        <v>1.68</v>
      </c>
      <c r="O15" s="120">
        <v>2.23</v>
      </c>
      <c r="P15" s="121">
        <v>2.57</v>
      </c>
      <c r="Q15" s="235"/>
      <c r="R15" s="123">
        <f>(Q15/12*2*$E15*$G15*$H15*$M15)+(Q15/12*10*$F15*$G15*$H15*$M15)</f>
        <v>0</v>
      </c>
      <c r="S15" s="127"/>
      <c r="T15" s="123">
        <f>(S15/12*2*$E15*$G15*$H15*$M15)+(S15/12*10*$F15*$G15*$H15*$M15)</f>
        <v>0</v>
      </c>
      <c r="U15" s="123"/>
      <c r="V15" s="123">
        <f>(U15/12*2*$E15*$G15*$H15*$M15)+(U15/12*10*$F15*$G15*$H15*$M15)</f>
        <v>0</v>
      </c>
      <c r="W15" s="123">
        <v>510</v>
      </c>
      <c r="X15" s="123">
        <f>(W15/12*2*$E15*$G15*$H15*$M15)+(W15/12*10*$F15*$G15*$H15*$M15)</f>
        <v>14579915.699999999</v>
      </c>
      <c r="Y15" s="269"/>
      <c r="Z15" s="123">
        <f>(Y15/12*2*$E15*$G15*$H15*$M15)+(Y15/12*10*$F15*$G15*$H15*$M15)</f>
        <v>0</v>
      </c>
      <c r="AA15" s="270"/>
      <c r="AB15" s="123">
        <f>(AA15/12*2*$E15*$G15*$H15*$M15)+(AA15/12*10*$F15*$G15*$H15*$M15)</f>
        <v>0</v>
      </c>
      <c r="AC15" s="271"/>
      <c r="AD15" s="123"/>
      <c r="AE15" s="271"/>
      <c r="AF15" s="123">
        <f>(AE15/12*2*$E15*$G15*$H15*$M15)+(AE15/12*10*$F15*$G15*$H15*$M15)</f>
        <v>0</v>
      </c>
      <c r="AG15" s="272"/>
      <c r="AH15" s="135">
        <f>(AG15/12*2*$E15*$G15*$H15*$M15)+(AG15/12*10*$F15*$G15*$H15*$M15)</f>
        <v>0</v>
      </c>
      <c r="AI15" s="123"/>
      <c r="AJ15" s="123">
        <f>(AI15/12*2*$E15*$G15*$H15*$M15)+(AI15/12*10*$F15*$G15*$H15*$M15)</f>
        <v>0</v>
      </c>
      <c r="AK15" s="123">
        <v>80</v>
      </c>
      <c r="AL15" s="126">
        <f>(AK15/12*2*$E15*$G15*$H15*$N15)+(AK15/12*10*$F15*$G15*$H15*$N15)</f>
        <v>2744454.7199999997</v>
      </c>
      <c r="AM15" s="273"/>
      <c r="AN15" s="123">
        <f>(AM15/12*2*$E15*$G15*$H15*$N15)+(AM15/12*10*$F15*$G15*$H15*$N15)</f>
        <v>0</v>
      </c>
      <c r="AO15" s="270"/>
      <c r="AP15" s="123">
        <f>(AO15/12*2*$E15*$G15*$H15*$N15)+(AO15/12*10*$F15*$G15*$H15*$N15)</f>
        <v>0</v>
      </c>
      <c r="AQ15" s="123"/>
      <c r="AR15" s="123"/>
      <c r="AS15" s="270"/>
      <c r="AT15" s="123"/>
      <c r="AU15" s="271"/>
      <c r="AV15" s="123"/>
      <c r="AW15" s="274">
        <v>84</v>
      </c>
      <c r="AX15" s="123">
        <f>(AW15/12*2*$E15*$G15*$H15*$M15)+(AW15/12*10*$F15*$G15*$H15*$M15)</f>
        <v>2401397.88</v>
      </c>
      <c r="AY15" s="274">
        <v>95</v>
      </c>
      <c r="AZ15" s="123">
        <f>(AY15/12*2*$E15*$G15*$H15*$N15)+(AY15/12*10*$F15*$G15*$H15*$N15)</f>
        <v>3259039.98</v>
      </c>
      <c r="BA15" s="271"/>
      <c r="BB15" s="123">
        <f>(BA15/12*2*$E15*$G15*$H15*$N15)+(BA15/12*10*$F15*$G15*$H15*$N15)</f>
        <v>0</v>
      </c>
      <c r="BC15" s="269"/>
      <c r="BD15" s="123">
        <f>(BC15/12*2*$E15*$G15*$H15*$N15)+(BC15/12*10*$F15*$G15*$H15*$N15)</f>
        <v>0</v>
      </c>
      <c r="BE15" s="123">
        <v>28</v>
      </c>
      <c r="BF15" s="123">
        <f>(BE15/12*10*$F15*$G15*$H15*$N15)</f>
        <v>806873.2</v>
      </c>
      <c r="BG15" s="271"/>
      <c r="BH15" s="123">
        <f>(BG15/12*2*$E15*$G15*$H15*$N15)+(BG15/12*10*$F15*$G15*$H15*$N15)</f>
        <v>0</v>
      </c>
      <c r="BI15" s="123">
        <v>48</v>
      </c>
      <c r="BJ15" s="123">
        <f>(BI15/12*2*$E15*$G15*$H15*$N15)+(BI15/12*10*$F15*$G15*$H15*$N15)</f>
        <v>1646672.8319999999</v>
      </c>
      <c r="BK15" s="275">
        <v>50</v>
      </c>
      <c r="BL15" s="123">
        <f>(BK15/12*2*$E15*$G15*$H15*$N15)+(BK15/12*10*$F15*$G15*$H15*$N15)</f>
        <v>1715284.2</v>
      </c>
      <c r="BM15" s="271"/>
      <c r="BN15" s="123">
        <f>(BM15/12*2*$E15*$G15*$H15*$M15)+(BM15/12*10*$F15*$G15*$H15*$M15)</f>
        <v>0</v>
      </c>
      <c r="BO15" s="271"/>
      <c r="BP15" s="123">
        <f>(BO15/12*2*$E15*$G15*$H15*$M15)+(BO15/12*10*$F15*$G15*$H15*$M15)</f>
        <v>0</v>
      </c>
      <c r="BQ15" s="271"/>
      <c r="BR15" s="123">
        <f>(BQ15/12*2*$E15*$G15*$H15*$M15)+(BQ15/12*10*$F15*$G15*$H15*$M15)</f>
        <v>0</v>
      </c>
      <c r="BS15" s="123">
        <v>80</v>
      </c>
      <c r="BT15" s="123">
        <f>(BS15/12*2*$E15*$G15*$H15*$N15)+(BS15/12*10*$F15*$G15*$H15*$N15)</f>
        <v>2744454.7199999997</v>
      </c>
      <c r="BU15" s="271"/>
      <c r="BV15" s="123">
        <f>(BU15/12*2*$E15*$G15*$H15*$M15)+(BU15/12*10*$F15*$G15*$H15*$M15)</f>
        <v>0</v>
      </c>
      <c r="BW15" s="271"/>
      <c r="BX15" s="123">
        <f>(BW15/12*2*$E15*$G15*$H15*$M15)+(BW15/12*10*$F15*$G15*$H15*$M15)</f>
        <v>0</v>
      </c>
      <c r="BY15" s="123">
        <v>10</v>
      </c>
      <c r="BZ15" s="123">
        <f>(BY15/12*2*$E15*$G15*$H15*$M15)+(BY15/12*10*$F15*$G15*$H15*$M15)</f>
        <v>285880.69999999995</v>
      </c>
      <c r="CA15" s="271"/>
      <c r="CB15" s="123">
        <f>(CA15/12*2*$E15*$G15*$H15*$M15)+(CA15/12*10*$F15*$G15*$H15*$M15)</f>
        <v>0</v>
      </c>
      <c r="CC15" s="271"/>
      <c r="CD15" s="123">
        <f>(CC15/12*2*$E15*$G15*$H15*$M15)+(CC15/12*10*$F15*$G15*$H15*$M15)</f>
        <v>0</v>
      </c>
      <c r="CE15" s="123">
        <v>10</v>
      </c>
      <c r="CF15" s="123">
        <f>(CE15/12*10*$F15*$G15*$H15*$N15)</f>
        <v>288169</v>
      </c>
      <c r="CG15" s="271"/>
      <c r="CH15" s="123">
        <f>(CG15/12*2*$E15*$G15*$H15*$N15)+(CG15/12*10*$F15*$G15*$H15*$N15)</f>
        <v>0</v>
      </c>
      <c r="CI15" s="271"/>
      <c r="CJ15" s="127">
        <f>(CI15*$E15*$G15*$H15*$N15)</f>
        <v>0</v>
      </c>
      <c r="CK15" s="270"/>
      <c r="CL15" s="123">
        <f>(CK15/12*2*$E15*$G15*$H15*$N15)+(CK15/12*10*$F15*$G15*$H15*$N15)</f>
        <v>0</v>
      </c>
      <c r="CM15" s="276"/>
      <c r="CN15" s="123">
        <f>(CM15/12*2*$E15*$G15*$H15*$N15)+(CM15/12*10*$F15*$G15*$H15*$N15)</f>
        <v>0</v>
      </c>
      <c r="CO15" s="123"/>
      <c r="CP15" s="123">
        <f>(CO15/12*2*$E15*$G15*$H15*$N15)+(CO15/12*10*$F15*$G15*$H15*$N15)</f>
        <v>0</v>
      </c>
      <c r="CQ15" s="271"/>
      <c r="CR15" s="123">
        <f>(CQ15/12*2*$E15*$G15*$H15*$O15)+(CQ15/12*10*$F15*$G15*$H15*$O15)</f>
        <v>0</v>
      </c>
      <c r="CS15" s="271"/>
      <c r="CT15" s="127">
        <f>(CS15/12*2*$E15*$G15*$H15*$P15)+(CS15/12*10*$F15*$G15*$H15*$P15)</f>
        <v>0</v>
      </c>
      <c r="CU15" s="127"/>
      <c r="CV15" s="127"/>
      <c r="CW15" s="126">
        <f>SUM(Q15,S15,U15,W15,Y15,AA15,AC15,AE15,AG15,AM15,BQ15,AI15,AU15,CC15,AW15,AY15,AK15,BC15,AO15,AQ15,BE15,CE15,BG15,BI15,BK15,BS15,BM15,BO15,BU15,BW15,BY15,CA15,CG15,BA15,AS15,CI15,CK15,CM15,CO15,CQ15,CS15,CU15)</f>
        <v>995</v>
      </c>
      <c r="CX15" s="126">
        <f>SUM(R15,T15,V15,X15,Z15,AB15,AD15,AF15,AH15,AN15,BR15,AJ15,AV15,CD15,AX15,AZ15,AL15,BD15,AP15,AR15,BF15,CF15,BH15,BJ15,BL15,BT15,BN15,BP15,BV15,BX15,BZ15,CB15,CH15,BB15,AT15,CJ15,CL15,CN15,CP15,CR15,CT15,CV15)</f>
        <v>30472142.931999993</v>
      </c>
    </row>
    <row r="16" spans="1:102" ht="17.25" customHeight="1" x14ac:dyDescent="0.25">
      <c r="A16" s="109">
        <v>2</v>
      </c>
      <c r="B16" s="92"/>
      <c r="C16" s="93" t="s">
        <v>119</v>
      </c>
      <c r="D16" s="94" t="s">
        <v>120</v>
      </c>
      <c r="E16" s="95">
        <v>28004</v>
      </c>
      <c r="F16" s="96">
        <v>29405</v>
      </c>
      <c r="G16" s="97">
        <v>0.8</v>
      </c>
      <c r="H16" s="110"/>
      <c r="I16" s="108"/>
      <c r="J16" s="108"/>
      <c r="K16" s="108"/>
      <c r="L16" s="111"/>
      <c r="M16" s="112">
        <v>1.4</v>
      </c>
      <c r="N16" s="112">
        <v>1.68</v>
      </c>
      <c r="O16" s="112">
        <v>2.23</v>
      </c>
      <c r="P16" s="113">
        <v>2.57</v>
      </c>
      <c r="Q16" s="103">
        <f>SUM(Q17:Q33)</f>
        <v>2506</v>
      </c>
      <c r="R16" s="104">
        <f>SUM(R17:R33)</f>
        <v>122691316.52157192</v>
      </c>
      <c r="S16" s="114">
        <f t="shared" ref="S16:CD16" si="2">SUM(S17:S33)</f>
        <v>5</v>
      </c>
      <c r="T16" s="115">
        <f t="shared" si="2"/>
        <v>162951.99899999995</v>
      </c>
      <c r="U16" s="104">
        <f t="shared" si="2"/>
        <v>3</v>
      </c>
      <c r="V16" s="104">
        <f t="shared" si="2"/>
        <v>273800.57546261401</v>
      </c>
      <c r="W16" s="104">
        <f t="shared" si="2"/>
        <v>7630</v>
      </c>
      <c r="X16" s="104">
        <f t="shared" si="2"/>
        <v>526685792.63609457</v>
      </c>
      <c r="Y16" s="104">
        <f t="shared" si="2"/>
        <v>40</v>
      </c>
      <c r="Z16" s="104">
        <f t="shared" si="2"/>
        <v>3036836.2804203434</v>
      </c>
      <c r="AA16" s="104">
        <f t="shared" si="2"/>
        <v>0</v>
      </c>
      <c r="AB16" s="104">
        <f t="shared" si="2"/>
        <v>0</v>
      </c>
      <c r="AC16" s="104">
        <f t="shared" si="2"/>
        <v>0</v>
      </c>
      <c r="AD16" s="104">
        <f t="shared" si="2"/>
        <v>0</v>
      </c>
      <c r="AE16" s="104">
        <f t="shared" si="2"/>
        <v>110</v>
      </c>
      <c r="AF16" s="105">
        <f t="shared" si="2"/>
        <v>4977748.1805333328</v>
      </c>
      <c r="AG16" s="104">
        <f t="shared" si="2"/>
        <v>2409</v>
      </c>
      <c r="AH16" s="104">
        <f t="shared" si="2"/>
        <v>71314928.652963325</v>
      </c>
      <c r="AI16" s="106">
        <f t="shared" si="2"/>
        <v>2440</v>
      </c>
      <c r="AJ16" s="104">
        <f t="shared" si="2"/>
        <v>100364108.23889899</v>
      </c>
      <c r="AK16" s="104">
        <f t="shared" si="2"/>
        <v>2803</v>
      </c>
      <c r="AL16" s="104">
        <f t="shared" si="2"/>
        <v>238491004.30490997</v>
      </c>
      <c r="AM16" s="104">
        <f t="shared" si="2"/>
        <v>5</v>
      </c>
      <c r="AN16" s="104">
        <f t="shared" si="2"/>
        <v>539740.82803741039</v>
      </c>
      <c r="AO16" s="106">
        <f>SUM(AO17:AO33)</f>
        <v>14</v>
      </c>
      <c r="AP16" s="104">
        <f t="shared" si="2"/>
        <v>1020259.2632954671</v>
      </c>
      <c r="AQ16" s="104">
        <v>146</v>
      </c>
      <c r="AR16" s="104">
        <v>6729247.4899999984</v>
      </c>
      <c r="AS16" s="104">
        <f t="shared" si="2"/>
        <v>0</v>
      </c>
      <c r="AT16" s="104">
        <f t="shared" si="2"/>
        <v>0</v>
      </c>
      <c r="AU16" s="104">
        <f t="shared" si="2"/>
        <v>6967</v>
      </c>
      <c r="AV16" s="104">
        <f t="shared" si="2"/>
        <v>440380297.74185991</v>
      </c>
      <c r="AW16" s="104">
        <f t="shared" si="2"/>
        <v>592</v>
      </c>
      <c r="AX16" s="104">
        <f t="shared" si="2"/>
        <v>28113282.736279998</v>
      </c>
      <c r="AY16" s="104">
        <f t="shared" si="2"/>
        <v>829</v>
      </c>
      <c r="AZ16" s="104">
        <f t="shared" si="2"/>
        <v>39084024.076076001</v>
      </c>
      <c r="BA16" s="104">
        <f t="shared" si="2"/>
        <v>0</v>
      </c>
      <c r="BB16" s="104">
        <f t="shared" si="2"/>
        <v>0</v>
      </c>
      <c r="BC16" s="104">
        <f t="shared" si="2"/>
        <v>7591</v>
      </c>
      <c r="BD16" s="104">
        <f t="shared" si="2"/>
        <v>343014658.80864</v>
      </c>
      <c r="BE16" s="104">
        <f t="shared" si="2"/>
        <v>917</v>
      </c>
      <c r="BF16" s="104">
        <f t="shared" si="2"/>
        <v>42550622.869999997</v>
      </c>
      <c r="BG16" s="104">
        <f t="shared" si="2"/>
        <v>60</v>
      </c>
      <c r="BH16" s="104">
        <f t="shared" si="2"/>
        <v>2147543.5994879999</v>
      </c>
      <c r="BI16" s="104">
        <f t="shared" si="2"/>
        <v>838</v>
      </c>
      <c r="BJ16" s="104">
        <f t="shared" si="2"/>
        <v>44628377.921007983</v>
      </c>
      <c r="BK16" s="104">
        <f t="shared" si="2"/>
        <v>1047</v>
      </c>
      <c r="BL16" s="104">
        <f t="shared" si="2"/>
        <v>50576698.061792001</v>
      </c>
      <c r="BM16" s="104">
        <f t="shared" si="2"/>
        <v>0</v>
      </c>
      <c r="BN16" s="104">
        <f t="shared" si="2"/>
        <v>0</v>
      </c>
      <c r="BO16" s="104">
        <f t="shared" si="2"/>
        <v>0</v>
      </c>
      <c r="BP16" s="104">
        <f t="shared" si="2"/>
        <v>0</v>
      </c>
      <c r="BQ16" s="104">
        <f t="shared" si="2"/>
        <v>285</v>
      </c>
      <c r="BR16" s="104">
        <f t="shared" si="2"/>
        <v>9670373.8599999994</v>
      </c>
      <c r="BS16" s="104">
        <f t="shared" si="2"/>
        <v>838</v>
      </c>
      <c r="BT16" s="104">
        <f t="shared" si="2"/>
        <v>37601722.100039996</v>
      </c>
      <c r="BU16" s="104">
        <f t="shared" si="2"/>
        <v>160</v>
      </c>
      <c r="BV16" s="104">
        <f t="shared" si="2"/>
        <v>5258897.9967999998</v>
      </c>
      <c r="BW16" s="104">
        <f t="shared" si="2"/>
        <v>103</v>
      </c>
      <c r="BX16" s="104">
        <f t="shared" si="2"/>
        <v>1791279.0399466669</v>
      </c>
      <c r="BY16" s="104">
        <f t="shared" si="2"/>
        <v>320</v>
      </c>
      <c r="BZ16" s="104">
        <f t="shared" si="2"/>
        <v>10085167.140999999</v>
      </c>
      <c r="CA16" s="104">
        <f t="shared" si="2"/>
        <v>0</v>
      </c>
      <c r="CB16" s="104">
        <f t="shared" si="2"/>
        <v>0</v>
      </c>
      <c r="CC16" s="104">
        <f t="shared" si="2"/>
        <v>330</v>
      </c>
      <c r="CD16" s="104">
        <f t="shared" si="2"/>
        <v>14233603.951466665</v>
      </c>
      <c r="CE16" s="104">
        <f t="shared" ref="CE16:CW16" si="3">SUM(CE17:CE33)</f>
        <v>683</v>
      </c>
      <c r="CF16" s="104">
        <f t="shared" si="3"/>
        <v>25373897.954999998</v>
      </c>
      <c r="CG16" s="104">
        <f t="shared" si="3"/>
        <v>0</v>
      </c>
      <c r="CH16" s="104">
        <f t="shared" si="3"/>
        <v>0</v>
      </c>
      <c r="CI16" s="104">
        <f t="shared" si="3"/>
        <v>0</v>
      </c>
      <c r="CJ16" s="104">
        <f t="shared" si="3"/>
        <v>0</v>
      </c>
      <c r="CK16" s="104">
        <f t="shared" si="3"/>
        <v>0</v>
      </c>
      <c r="CL16" s="104">
        <f t="shared" si="3"/>
        <v>0</v>
      </c>
      <c r="CM16" s="104">
        <f t="shared" si="3"/>
        <v>45</v>
      </c>
      <c r="CN16" s="104">
        <f t="shared" si="3"/>
        <v>1159982.7932</v>
      </c>
      <c r="CO16" s="104">
        <f t="shared" si="3"/>
        <v>137</v>
      </c>
      <c r="CP16" s="104">
        <f t="shared" si="3"/>
        <v>879071.76</v>
      </c>
      <c r="CQ16" s="104">
        <f t="shared" si="3"/>
        <v>80</v>
      </c>
      <c r="CR16" s="104">
        <f t="shared" si="3"/>
        <v>5246838.6189000001</v>
      </c>
      <c r="CS16" s="104">
        <f t="shared" si="3"/>
        <v>247</v>
      </c>
      <c r="CT16" s="104">
        <f t="shared" si="3"/>
        <v>17316623.655059997</v>
      </c>
      <c r="CU16" s="104">
        <f t="shared" si="3"/>
        <v>0</v>
      </c>
      <c r="CV16" s="104">
        <f t="shared" si="3"/>
        <v>0</v>
      </c>
      <c r="CW16" s="104">
        <f t="shared" si="3"/>
        <v>40180</v>
      </c>
      <c r="CX16" s="104">
        <f>SUM(CX17:CX33)</f>
        <v>2195400699.6577454</v>
      </c>
    </row>
    <row r="17" spans="1:102" ht="27.75" customHeight="1" x14ac:dyDescent="0.25">
      <c r="A17" s="91"/>
      <c r="B17" s="116">
        <v>2</v>
      </c>
      <c r="C17" s="117" t="s">
        <v>121</v>
      </c>
      <c r="D17" s="118" t="s">
        <v>122</v>
      </c>
      <c r="E17" s="95">
        <v>28004</v>
      </c>
      <c r="F17" s="96">
        <v>29405</v>
      </c>
      <c r="G17" s="119">
        <v>0.93</v>
      </c>
      <c r="H17" s="110">
        <v>1.4</v>
      </c>
      <c r="I17" s="108"/>
      <c r="J17" s="108"/>
      <c r="K17" s="108"/>
      <c r="L17" s="63"/>
      <c r="M17" s="120">
        <v>1.4</v>
      </c>
      <c r="N17" s="120">
        <v>1.68</v>
      </c>
      <c r="O17" s="120">
        <v>2.23</v>
      </c>
      <c r="P17" s="121">
        <v>2.57</v>
      </c>
      <c r="Q17" s="122">
        <v>380</v>
      </c>
      <c r="R17" s="123">
        <f>(Q17/12*2*$E17*$G17*$H17*$M17*$R$11)+(Q17/12*10*$F17*$G17*$H17*$M17*$R$11)</f>
        <v>22226652.663600001</v>
      </c>
      <c r="S17" s="124"/>
      <c r="T17" s="125">
        <f>(S17/12*2*$E17*$G17*$H17*$M17*$R$11)+(S17/12*10*$F17*$G17*$H17*$M17*$R$11)</f>
        <v>0</v>
      </c>
      <c r="U17" s="123"/>
      <c r="V17" s="123">
        <f>(U17/12*2*$E17*$G17*$H17*$M17*$V$11)+(U17/12*10*$F17*$G17*$H17*$M17*$V$12)</f>
        <v>0</v>
      </c>
      <c r="W17" s="123">
        <v>2310</v>
      </c>
      <c r="X17" s="126">
        <f>(W17/12*2*$E17*$G17*$H17*$M17*$X$11)+(W17/12*10*$F17*$G17*$H17*$M17*$X$12)</f>
        <v>164741578.4553</v>
      </c>
      <c r="Y17" s="123"/>
      <c r="Z17" s="123">
        <f>(Y17/12*2*$E17*$G17*$H17*$M17*$Z$11)+(Y17/12*10*$F17*$G17*$H17*$M17*$Z$12)</f>
        <v>0</v>
      </c>
      <c r="AA17" s="123"/>
      <c r="AB17" s="123">
        <f>(AA17/12*2*$E17*$G17*$H17*$M17*$AB$11)+(AA17/12*10*$F17*$G17*$H17*$M17*$AB$11)</f>
        <v>0</v>
      </c>
      <c r="AC17" s="123"/>
      <c r="AD17" s="123"/>
      <c r="AE17" s="123"/>
      <c r="AF17" s="127">
        <f>(AE17/12*2*$E17*$G17*$H17*$M17*$AF$11)+(AE17/12*10*$F17*$G17*$H17*$M17*$AF$11)</f>
        <v>0</v>
      </c>
      <c r="AG17" s="123">
        <f>300-21</f>
        <v>279</v>
      </c>
      <c r="AH17" s="126">
        <f>(AG17/12*2*$E17*$G17*$H17*$M17*$AH$11)+(AG17/12*10*$F17*$G17*$H17*$M17*$AH$11)</f>
        <v>16319042.350379998</v>
      </c>
      <c r="AI17" s="128">
        <v>288</v>
      </c>
      <c r="AJ17" s="123">
        <f>(AI17/12*2*$E17*$G17*$H17*$M17*$AJ$11)+(AI17/12*5*$F17*$G17*$H17*$M17*$AJ$12)+(AI17/12*5*$F17*$G17*$H17*$M17*$AJ$13)</f>
        <v>19779635.897279996</v>
      </c>
      <c r="AK17" s="123">
        <v>1300</v>
      </c>
      <c r="AL17" s="123">
        <f>(AK17/12*2*$E17*$G17*$H17*$N17*$AL$11)+(AK17/12*5*$F17*$G17*$H17*$N17*$AL$12)++(AK17/12*5*$F17*$G17*$H17*$N17*$AL$13)</f>
        <v>107139694.4436</v>
      </c>
      <c r="AM17" s="129"/>
      <c r="AN17" s="123">
        <f>(AM17/12*2*$E17*$G17*$H17*$N17*$AN$11)+(AM17/12*10*$F17*$G17*$H17*$N17*$AN$12)</f>
        <v>0</v>
      </c>
      <c r="AO17" s="130">
        <f>37-AQ17</f>
        <v>1</v>
      </c>
      <c r="AP17" s="127">
        <f>(AO17/12*2*$E17*$G17*$H17*$N17*$AP$11)+(AO17/12*10*$F17*$G17*$H17*$N17*$AP$11)</f>
        <v>70189.429464000001</v>
      </c>
      <c r="AQ17" s="127">
        <v>36</v>
      </c>
      <c r="AR17" s="127">
        <v>2513335.6</v>
      </c>
      <c r="AS17" s="123"/>
      <c r="AT17" s="123">
        <f>(AS17/12*2*$E17*$G17*$H17*$M17*$AT$11)+(AS17/12*10*$F17*$G17*$H17*$M17*$AT$11)</f>
        <v>0</v>
      </c>
      <c r="AU17" s="123">
        <v>3400</v>
      </c>
      <c r="AV17" s="126">
        <f>(AU17/12*2*$E17*$G17*$H17*$M17*$AV$11)+(AU17/12*10*$F17*$G17*$H17*$M17*$AV$12)</f>
        <v>207837241.836</v>
      </c>
      <c r="AW17" s="123">
        <v>149</v>
      </c>
      <c r="AX17" s="123">
        <f>(AW17/12*2*$E17*$G17*$H17*$M17*$AX$11)+(AW17/12*10*$F17*$G17*$H17*$M17*$AX$12)</f>
        <v>9108161.4804599974</v>
      </c>
      <c r="AY17" s="123">
        <v>250</v>
      </c>
      <c r="AZ17" s="123">
        <f>(AY17/12*2*$E17*$G17*$H17*$N17*$AZ$11)+(AY17/12*10*$F17*$G17*$H17*$N17*$AZ$11)</f>
        <v>17547357.366</v>
      </c>
      <c r="BA17" s="123"/>
      <c r="BB17" s="123">
        <f>(BA17/12*2*$E17*$G17*$H17*$N17*$BB$11)+(BA17/12*10*$F17*$G17*$H17*$N17*$BB$12)</f>
        <v>0</v>
      </c>
      <c r="BC17" s="132">
        <v>2750</v>
      </c>
      <c r="BD17" s="126">
        <f>(BC17/12*2*$E17*$G17*$H17*$N17*$BD$11)+(BC17/12*10*$F17*$G17*$H17*$N17*$BD$12)</f>
        <v>169577635.91999999</v>
      </c>
      <c r="BE17" s="123">
        <v>500</v>
      </c>
      <c r="BF17" s="123">
        <f>(BE17/12*10*$F17*$G17*$H17*$N17*$BF$12)</f>
        <v>26799716.999999996</v>
      </c>
      <c r="BG17" s="123">
        <v>9</v>
      </c>
      <c r="BH17" s="123">
        <f>(BG17/12*2*$E17*$G17*$H17*$N17*$BH$11)+(BG17/12*10*$F17*$G17*$H17*$N17*$BH$11)</f>
        <v>516849.43514399993</v>
      </c>
      <c r="BI17" s="123">
        <v>159</v>
      </c>
      <c r="BJ17" s="126">
        <f>(BI17/12*2*$E17*$G17*$H17*$N17*$BJ$11)+(BI17/12*10*$F17*$G17*$H17*$N17*$BJ$11)</f>
        <v>12174675.583391998</v>
      </c>
      <c r="BK17" s="123">
        <v>230</v>
      </c>
      <c r="BL17" s="127">
        <f>(BK17/12*2*$E17*$G17*$H17*$N17*$BL$11)+(BK17/12*10*$F17*$G17*$H17*$N17*$BL$11)</f>
        <v>17611165.938239999</v>
      </c>
      <c r="BM17" s="123"/>
      <c r="BN17" s="123">
        <f>(BM17/12*2*$E17*$G17*$H17*$M17*$BN$11)+(BM17/12*10*$F17*$G17*$H17*$M17*$BN$11)</f>
        <v>0</v>
      </c>
      <c r="BO17" s="123"/>
      <c r="BP17" s="123">
        <f>(BO17/12*2*$E17*$G17*$H17*$M17*$BP$11)+(BO17/12*10*$F17*$G17*$H17*$M17*$BP$12)</f>
        <v>0</v>
      </c>
      <c r="BQ17" s="123"/>
      <c r="BR17" s="123">
        <f>(BQ17/12*2*$E17*$G17*$H17*$M17*$BR$11)+(BQ17/12*10*$F17*$G17*$H17*$M17*$BR$11)</f>
        <v>0</v>
      </c>
      <c r="BS17" s="123">
        <v>300</v>
      </c>
      <c r="BT17" s="123">
        <f>(BS17/12*2*$E17*$G17*$H17*$N17*$BT$11)+(BS17/12*10*$F17*$G17*$H17*$N17*$BT$11)</f>
        <v>19142571.671999998</v>
      </c>
      <c r="BU17" s="123">
        <v>80</v>
      </c>
      <c r="BV17" s="126">
        <f>(BU17/12*2*$E17*$G17*$H17*$M17*$BV$11)+(BU17/12*10*$F17*$G17*$H17*$M17*$BV$11)</f>
        <v>3403123.8528</v>
      </c>
      <c r="BW17" s="123">
        <v>8</v>
      </c>
      <c r="BX17" s="123">
        <f>(BW17/12*2*$E17*$G17*$H17*$M17*$BX$11)+(BW17/12*10*$F17*$G17*$H17*$M17*$BX$11)</f>
        <v>340312.38527999999</v>
      </c>
      <c r="BY17" s="123">
        <v>60</v>
      </c>
      <c r="BZ17" s="123">
        <f>(BY17/12*2*$E17*$G17*$H17*$M17*$BZ$11)+(BY17/12*10*$F17*$G17*$H17*$M17*$BZ$11)</f>
        <v>3190428.6119999997</v>
      </c>
      <c r="CA17" s="123"/>
      <c r="CB17" s="123">
        <f>(CA17/12*2*$E17*$G17*$H17*$M17*$CB$11)+(CA17/12*10*$F17*$G17*$H17*$M17*$CB$11)</f>
        <v>0</v>
      </c>
      <c r="CC17" s="123">
        <v>120</v>
      </c>
      <c r="CD17" s="123">
        <f>(CC17/12*2*$E17*$G17*$H17*$M17*$CD$11)+(CC17/12*10*$F17*$G17*$H17*$M17*$CD$11)</f>
        <v>6380857.2239999995</v>
      </c>
      <c r="CE17" s="123">
        <v>180</v>
      </c>
      <c r="CF17" s="123">
        <f>(CE17/12*10*$F17*$G17*$H17*$N17*$CF$11)</f>
        <v>9647898.1199999992</v>
      </c>
      <c r="CG17" s="132"/>
      <c r="CH17" s="123">
        <f>(CG17/12*2*$E17*$G17*$H17*$N17*$CH$11)+(CG17/12*10*$F17*$G17*$H17*$N17*$CH$11)</f>
        <v>0</v>
      </c>
      <c r="CI17" s="123"/>
      <c r="CJ17" s="127">
        <f>(CI17*$E17*$G17*$H17*$N17*CJ$11)</f>
        <v>0</v>
      </c>
      <c r="CK17" s="123"/>
      <c r="CL17" s="123">
        <f>(CK17/12*2*$E17*$G17*$H17*$N17*$CL$11)+(CK17/12*10*$F17*$G17*$H17*$N17*$CL$12)</f>
        <v>0</v>
      </c>
      <c r="CM17" s="130">
        <v>4</v>
      </c>
      <c r="CN17" s="123">
        <f>(CM17/12*2*$E17*$G17*$H17*$N17*$CN$11)+(CM17/12*10*$F17*$G17*$H17*$N17*$CN$11)</f>
        <v>255234.28895999998</v>
      </c>
      <c r="CO17" s="123">
        <v>70</v>
      </c>
      <c r="CP17" s="123">
        <v>612548.30000000005</v>
      </c>
      <c r="CQ17" s="123">
        <v>40</v>
      </c>
      <c r="CR17" s="123">
        <f>(CQ17/12*2*$E17*$G17*$H17*$O17*$CR$11)+(CQ17/12*10*$F17*$G17*$H17*$O17*$CR$11)</f>
        <v>3387931.3355999999</v>
      </c>
      <c r="CS17" s="123">
        <v>108</v>
      </c>
      <c r="CT17" s="133">
        <f>(CS17/12*2*$E17*$G17*$H17*$P17*$CT$11)+(CS17/12*10*$F17*$G17*$H17*$P17*$CT$11)</f>
        <v>10542087.685079999</v>
      </c>
      <c r="CU17" s="134"/>
      <c r="CV17" s="134"/>
      <c r="CW17" s="126">
        <f>SUM(Q17,S17,U17,W17,Y17,AA17,AC17,AE17,AG17,AM17,BQ17,AI17,AU17,CC17,AW17,AY17,AK17,BC17,AO17,AQ17,BE17,CE17,BG17,BI17,BK17,BS17,BM17,BO17,BU17,BW17,BY17,CA17,CG17,BA17,AS17,CI17,CK17,CM17,CO17,CQ17,CS17,CU17)</f>
        <v>13011</v>
      </c>
      <c r="CX17" s="126">
        <f>SUM(R17,T17,V17,X17,Z17,AB17,AD17,AF17,AH17,AN17,BR17,AJ17,AV17,CD17,AX17,AZ17,AL17,BD17,AP17,AR17,BF17,CF17,BH17,BJ17,BL17,BT17,BN17,BP17,BV17,BX17,BZ17,CB17,CH17,BB17,AT17,CJ17,CL17,CN17,CP17,CR17,CT17,CV17)</f>
        <v>850865926.87458003</v>
      </c>
    </row>
    <row r="18" spans="1:102" ht="30" customHeight="1" x14ac:dyDescent="0.25">
      <c r="A18" s="91"/>
      <c r="B18" s="116">
        <v>3</v>
      </c>
      <c r="C18" s="117" t="s">
        <v>123</v>
      </c>
      <c r="D18" s="118" t="s">
        <v>124</v>
      </c>
      <c r="E18" s="95">
        <v>28004</v>
      </c>
      <c r="F18" s="96">
        <v>29405</v>
      </c>
      <c r="G18" s="119">
        <v>0.28000000000000003</v>
      </c>
      <c r="H18" s="110">
        <v>1.4</v>
      </c>
      <c r="I18" s="203">
        <v>1</v>
      </c>
      <c r="J18" s="108"/>
      <c r="K18" s="108"/>
      <c r="L18" s="63"/>
      <c r="M18" s="120">
        <v>1.4</v>
      </c>
      <c r="N18" s="120">
        <v>1.68</v>
      </c>
      <c r="O18" s="120">
        <v>2.23</v>
      </c>
      <c r="P18" s="121">
        <v>2.57</v>
      </c>
      <c r="Q18" s="122">
        <v>450</v>
      </c>
      <c r="R18" s="123">
        <f>(Q18/12*2*$E18*$G18*$H18*$M18)+(Q18/12*10*$F18*$G18*$I18*$M18)</f>
        <v>5475179.6399999997</v>
      </c>
      <c r="S18" s="124"/>
      <c r="T18" s="125">
        <f>(S18/12*2*$E18*$G18*$H18*$M18)+(S18/12*10*$F18*$G18*$I18*$M18)</f>
        <v>0</v>
      </c>
      <c r="U18" s="123"/>
      <c r="V18" s="123">
        <f>(U18/12*2*$E18*$G18*$H18*$M18)+(U18/12*10*$F18*$G18*$I18*$M18)</f>
        <v>0</v>
      </c>
      <c r="W18" s="123">
        <v>260</v>
      </c>
      <c r="X18" s="123">
        <f>(W18/12*2*$E18*$G18*$H18*$M18)+(W18/12*10*$F18*$G18*$I18*$M18)</f>
        <v>3163437.1253333334</v>
      </c>
      <c r="Y18" s="123"/>
      <c r="Z18" s="123">
        <f>(Y18/12*2*$E18*$G18*$H18*$M18)+(Y18/12*10*$F18*$G18*$I18*$M18)</f>
        <v>0</v>
      </c>
      <c r="AA18" s="123"/>
      <c r="AB18" s="123">
        <f>(AA18*$E18*$G18*$H18*$M18)/12*2+(AA18*$F18*$G18*$I18*$M18)/12*10</f>
        <v>0</v>
      </c>
      <c r="AC18" s="123"/>
      <c r="AD18" s="123"/>
      <c r="AE18" s="123">
        <f>1+1</f>
        <v>2</v>
      </c>
      <c r="AF18" s="127">
        <f>(AE18/12*2*$E18*$G18*$H18*$M18)+(AE18/12*10*$F18*$G18*$I18*$M18)</f>
        <v>24334.131733333332</v>
      </c>
      <c r="AG18" s="123">
        <v>443</v>
      </c>
      <c r="AH18" s="123">
        <f>(AG18/12*2*$E18*$G18*$H18*$M18)+(AG18/12*10*$F18*$G18*$I18*$M18)</f>
        <v>5390010.1789333336</v>
      </c>
      <c r="AI18" s="128">
        <v>715</v>
      </c>
      <c r="AJ18" s="123">
        <f>(AI18/12*2*$E18*$G18*$H18*$M18)+(AI18/12*10*$F18*$G18*$I18*$M18)</f>
        <v>8699452.0946666673</v>
      </c>
      <c r="AK18" s="123"/>
      <c r="AL18" s="126">
        <f>(AK18/12*2*$E18*$G18*$H18*$N18)+(AK18/12*10*$F18*$G18*$I18*$N18)</f>
        <v>0</v>
      </c>
      <c r="AM18" s="132"/>
      <c r="AN18" s="123">
        <f>(AM18/12*2*$E18*$G18*$H18*$N18)+(AM18/12*10*$F18*$G18*$I18*$N18)</f>
        <v>0</v>
      </c>
      <c r="AO18" s="130"/>
      <c r="AP18" s="123">
        <f>(AO18/12*2*$E18*$G18*$H18*$N18)+(AO18/12*10*$F18*$G18*$I18*$N18)</f>
        <v>0</v>
      </c>
      <c r="AQ18" s="123">
        <v>2</v>
      </c>
      <c r="AR18" s="123">
        <v>27664.22</v>
      </c>
      <c r="AS18" s="123"/>
      <c r="AT18" s="123">
        <f>(AS18*$E18*$G18*$H18*$M18)/12*3+(AS18*$F18*$G18*$I18*$M18)/12*9</f>
        <v>0</v>
      </c>
      <c r="AU18" s="123"/>
      <c r="AV18" s="123"/>
      <c r="AW18" s="123">
        <v>15</v>
      </c>
      <c r="AX18" s="123">
        <f>(AW18/12*2*$E18*$G18*$H18*$M18)+(AW18/12*10*$F18*$G18*$I18*$M18)</f>
        <v>182505.98800000001</v>
      </c>
      <c r="AY18" s="123">
        <f>162+16</f>
        <v>178</v>
      </c>
      <c r="AZ18" s="123">
        <f>(AY18/12*2*$E18*$G18*$H18*$N18)+(AY18/12*10*$F18*$G18*$I18*$N18)</f>
        <v>2598885.2691200003</v>
      </c>
      <c r="BA18" s="123"/>
      <c r="BB18" s="123">
        <f>(BA18/12*2*$E18*$G18*$H18*$N18)+(BA18/12*10*$F18*$G18*$I18*$N18)</f>
        <v>0</v>
      </c>
      <c r="BC18" s="132">
        <v>1000</v>
      </c>
      <c r="BD18" s="123">
        <f>(BC18/12*2*$E18*$G18*$H18*$N18)+(BC18/12*10*$F18*$G18*$I18*$N18)</f>
        <v>14600479.039999999</v>
      </c>
      <c r="BE18" s="140">
        <v>36</v>
      </c>
      <c r="BF18" s="123">
        <f>(BE18/12*10*$F18*$G18*$I18*$N18)</f>
        <v>414963.36000000004</v>
      </c>
      <c r="BG18" s="123">
        <v>3</v>
      </c>
      <c r="BH18" s="123">
        <f>(BG18/12*2*$E18*$G18*$H18*$N18)+(BG18/12*10*$F18*$G18*$I18*$N18)</f>
        <v>43801.437120000002</v>
      </c>
      <c r="BI18" s="123">
        <v>200</v>
      </c>
      <c r="BJ18" s="123">
        <f>(BI18/12*2*$E18*$G18*$H18*$N18)+(BI18/12*10*$F18*$G18*$I18*$N18)</f>
        <v>2920095.8080000007</v>
      </c>
      <c r="BK18" s="123">
        <v>163</v>
      </c>
      <c r="BL18" s="123">
        <f>(BK18/12*2*$E18*$G18*$H18*$N18)+(BK18/12*10*$F18*$G18*$I18*$N18)</f>
        <v>2379878.0835199999</v>
      </c>
      <c r="BM18" s="123"/>
      <c r="BN18" s="123"/>
      <c r="BO18" s="123"/>
      <c r="BP18" s="123">
        <f>(BO18/12*2*$E18*$G18*$H18*$M18)+(BO18/12*10*$F18*$G18*$I18*$M18)</f>
        <v>0</v>
      </c>
      <c r="BQ18" s="123"/>
      <c r="BR18" s="123">
        <f>(BQ18/12*2*$E18*$G18*$H18*$M18)+(BQ18/12*10*$F18*$G18*$I18*$M18)</f>
        <v>0</v>
      </c>
      <c r="BS18" s="123">
        <v>150</v>
      </c>
      <c r="BT18" s="123">
        <f>(BS18/12*2*$E18*$G18*$H18*$N18)+(BS18/12*10*$F18*$G18*$I18*$N18)</f>
        <v>2190071.8560000001</v>
      </c>
      <c r="BU18" s="123"/>
      <c r="BV18" s="123">
        <f>(BU18/12*2*$E18*$G18*$H18*$M18)+(BU18/12*10*$F18*$G18*$I18*$M18)</f>
        <v>0</v>
      </c>
      <c r="BW18" s="123">
        <v>25</v>
      </c>
      <c r="BX18" s="123">
        <f>(BW18/12*2*$E18*$G18*$H18*$M18)+(BW18/12*10*$F18*$G18*$I18*$M18)</f>
        <v>304176.64666666673</v>
      </c>
      <c r="BY18" s="123">
        <v>90</v>
      </c>
      <c r="BZ18" s="123">
        <f>(BY18/12*2*$E18*$G18*$H18*$M18)+(BY18/12*10*$F18*$G18*$I18*$M18)</f>
        <v>1095035.9280000001</v>
      </c>
      <c r="CA18" s="123"/>
      <c r="CB18" s="123">
        <f>(CA18/12*2*$E18*$G18*$H18*$M18)+(CA18/12*10*$F18*$G18*$I18*$M18)</f>
        <v>0</v>
      </c>
      <c r="CC18" s="123">
        <v>46</v>
      </c>
      <c r="CD18" s="123">
        <f>(CC18/12*2*$E18*$G18*$H18*$M18)+(CC18/12*10*$F18*$G18*$I18*$M18)</f>
        <v>559685.02986666677</v>
      </c>
      <c r="CE18" s="123">
        <v>110</v>
      </c>
      <c r="CF18" s="123">
        <f>(CE18/12*10*$F18*$G18*$I18*$N18)</f>
        <v>1267943.6000000001</v>
      </c>
      <c r="CG18" s="132"/>
      <c r="CH18" s="123">
        <f>(CG18/12*2*$E18*$G18*$H18*$N18)+(CG18/12*10*$F18*$G18*$I18*$N18)</f>
        <v>0</v>
      </c>
      <c r="CI18" s="123"/>
      <c r="CJ18" s="127">
        <f>(CI18*$E18*$G18*$H18*$N18)</f>
        <v>0</v>
      </c>
      <c r="CK18" s="123"/>
      <c r="CL18" s="123">
        <f>(CK18/12*2*$E18*$G18*$H18*$N18)+(CK18/12*10*$F18*$G18*$I18*$N18)</f>
        <v>0</v>
      </c>
      <c r="CM18" s="130">
        <v>10</v>
      </c>
      <c r="CN18" s="123">
        <f>(CM18/12*2*$E18*$G18*$H18*$N18)+(CM18/12*10*$F18*$G18*$I18*$N18)</f>
        <v>146004.7904</v>
      </c>
      <c r="CO18" s="123">
        <v>35</v>
      </c>
      <c r="CP18" s="123">
        <v>46105.78</v>
      </c>
      <c r="CQ18" s="123">
        <v>6</v>
      </c>
      <c r="CR18" s="123">
        <f>(CQ18/12*2*$E18*$G18*$H18*$O18)+(CQ18/12*10*$F18*$G18*$I18*$O18)</f>
        <v>116282.38664000001</v>
      </c>
      <c r="CS18" s="123">
        <v>45</v>
      </c>
      <c r="CT18" s="127">
        <f>(CS18/12*2*$E18*$G18*$H18*$P18)+(CS18/12*10*$F18*$G18*$I18*$P18)</f>
        <v>1005086.5482000001</v>
      </c>
      <c r="CU18" s="127"/>
      <c r="CV18" s="127"/>
      <c r="CW18" s="126">
        <f>SUM(Q18,S18,U18,W18,Y18,AA18,AC18,AE18,AG18,AM18,BQ18,AI18,AU18,CC18,AW18,AY18,AK18,BC18,AO18,AQ18,BE18,CE18,BG18,BI18,BK18,BS18,BM18,BO18,BU18,BW18,BY18,CA18,CG18,BA18,AS18,CI18,CK18,CM18,CO18,CQ18,CS18,CU18)</f>
        <v>3984</v>
      </c>
      <c r="CX18" s="126">
        <f>SUM(R18,T18,V18,X18,Z18,AB18,AD18,AF18,AH18,AN18,BR18,AJ18,AV18,CD18,AX18,AZ18,AL18,BD18,AP18,AR18,BF18,CF18,BH18,BJ18,BL18,BT18,BN18,BP18,BV18,BX18,BZ18,CB18,CH18,BB18,AT18,CJ18,CL18,CN18,CP18,CR18,CT18,CV18)</f>
        <v>52651078.942200005</v>
      </c>
    </row>
    <row r="19" spans="1:102" s="6" customFormat="1" ht="15.75" customHeight="1" x14ac:dyDescent="0.25">
      <c r="A19" s="91"/>
      <c r="B19" s="116">
        <v>4</v>
      </c>
      <c r="C19" s="117" t="s">
        <v>125</v>
      </c>
      <c r="D19" s="118" t="s">
        <v>126</v>
      </c>
      <c r="E19" s="95">
        <v>28004</v>
      </c>
      <c r="F19" s="96">
        <v>29405</v>
      </c>
      <c r="G19" s="119">
        <v>0.98</v>
      </c>
      <c r="H19" s="110">
        <v>1.4</v>
      </c>
      <c r="I19" s="108"/>
      <c r="J19" s="108"/>
      <c r="K19" s="108"/>
      <c r="L19" s="63"/>
      <c r="M19" s="120">
        <v>1.4</v>
      </c>
      <c r="N19" s="120">
        <v>1.68</v>
      </c>
      <c r="O19" s="120">
        <v>2.23</v>
      </c>
      <c r="P19" s="121">
        <v>2.57</v>
      </c>
      <c r="Q19" s="122">
        <v>0</v>
      </c>
      <c r="R19" s="123">
        <f>(Q19/12*2*$E19*$G19*$H19*$M19*$R$11)+(Q19/12*10*$F19*$G19*$H19*$M19*$R$11)</f>
        <v>0</v>
      </c>
      <c r="S19" s="124"/>
      <c r="T19" s="125">
        <f>(S19/12*2*$E19*$G19*$H19*$M19*$R$11)+(S19/12*10*$F19*$G19*$H19*$M19*$R$11)</f>
        <v>0</v>
      </c>
      <c r="U19" s="123"/>
      <c r="V19" s="123">
        <f>(U19/12*2*$E19*$G19*$H19*$M19*$V$11)+(U19/12*10*$F19*$G19*$H19*$M19*$V$12)</f>
        <v>0</v>
      </c>
      <c r="W19" s="123">
        <v>2025</v>
      </c>
      <c r="X19" s="126">
        <f>(W19/12*2*$E19*$G19*$H19*$M19*$X$11)+(W19/12*10*$F19*$G19*$H19*$M19*$X$12)</f>
        <v>152180636.98950002</v>
      </c>
      <c r="Y19" s="123"/>
      <c r="Z19" s="123">
        <f>(Y19/12*2*$E19*$G19*$H19*$M19*$Z$11)+(Y19/12*10*$F19*$G19*$H19*$M19*$Z$12)</f>
        <v>0</v>
      </c>
      <c r="AA19" s="123"/>
      <c r="AB19" s="123">
        <f>(AA19/12*2*$E19*$G19*$H19*$M19*$AB$11)+(AA19/12*10*$F19*$G19*$H19*$M19*$AB$11)</f>
        <v>0</v>
      </c>
      <c r="AC19" s="123"/>
      <c r="AD19" s="123"/>
      <c r="AE19" s="123"/>
      <c r="AF19" s="123">
        <f>(AE19/12*2*$E19*$G19*$H19*$M19*$AF$11)+(AE19/12*10*$F19*$G19*$H19*$M19*$AF$11)</f>
        <v>0</v>
      </c>
      <c r="AG19" s="135"/>
      <c r="AH19" s="136">
        <f>(AG19/12*2*$E19*$G19*$H19*$M19*$AH$11)+(AG19/12*10*$F19*$G19*$H19*$M19*$AH$11)</f>
        <v>0</v>
      </c>
      <c r="AI19" s="137"/>
      <c r="AJ19" s="123">
        <f t="shared" ref="AJ19:AJ21" si="4">(AI19/12*2*$E19*$G19*$H19*$M19*$AJ$11)+(AI19/12*5*$F19*$G19*$H19*$M19*$AJ$12)+(AI19/12*5*$F19*$G19*$H19*$M19*$AJ$13)</f>
        <v>0</v>
      </c>
      <c r="AK19" s="123">
        <v>930</v>
      </c>
      <c r="AL19" s="123">
        <f t="shared" ref="AL19:AL21" si="5">(AK19/12*2*$E19*$G19*$H19*$N19*$AL$11)+(AK19/12*5*$F19*$G19*$H19*$N19*$AL$12)++(AK19/12*5*$F19*$G19*$H19*$N19*$AL$13)</f>
        <v>80766846.580559999</v>
      </c>
      <c r="AM19" s="132"/>
      <c r="AN19" s="123">
        <f>(AM19/12*2*$E19*$G19*$H19*$N19*$AN$11)+(AM19/12*10*$F19*$G19*$H19*$N19*$AN$12)</f>
        <v>0</v>
      </c>
      <c r="AO19" s="130"/>
      <c r="AP19" s="127">
        <f>(AO19/12*2*$E19*$G19*$H19*$N19*$AP$11)+(AO19/12*10*$F19*$G19*$H19*$N19*$AP$11)</f>
        <v>0</v>
      </c>
      <c r="AQ19" s="127">
        <v>0</v>
      </c>
      <c r="AR19" s="127">
        <v>0</v>
      </c>
      <c r="AS19" s="123"/>
      <c r="AT19" s="123">
        <f>(AS19/12*2*$E19*$G19*$H19*$M19*$AT$11)+(AS19/12*10*$F19*$G19*$H19*$M19*$AT$11)</f>
        <v>0</v>
      </c>
      <c r="AU19" s="123">
        <v>2160</v>
      </c>
      <c r="AV19" s="126">
        <f>(AU19/12*2*$E19*$G19*$H19*$M19*$AV$11)+(AU19/12*10*$F19*$G19*$H19*$M19*$AV$12)</f>
        <v>139136582.39039996</v>
      </c>
      <c r="AW19" s="123">
        <v>111</v>
      </c>
      <c r="AX19" s="123">
        <f>(AW19/12*2*$E19*$G19*$H19*$M19*$AX$11)+(AW19/12*10*$F19*$G19*$H19*$M19*$AX$12)</f>
        <v>7150074.3728399985</v>
      </c>
      <c r="AY19" s="123">
        <v>140</v>
      </c>
      <c r="AZ19" s="123">
        <f>(AY19/12*2*$E19*$G19*$H19*$N19*$AZ$11)+(AY19/12*10*$F19*$G19*$H19*$N19*$AZ$11)</f>
        <v>10354827.65856</v>
      </c>
      <c r="BA19" s="123"/>
      <c r="BB19" s="123">
        <f>(BA19/12*2*$E19*$G19*$H19*$N19*$BB$11)+(BA19/12*10*$F19*$G19*$H19*$N19*$BB$12)</f>
        <v>0</v>
      </c>
      <c r="BC19" s="132">
        <v>600</v>
      </c>
      <c r="BD19" s="126">
        <f>(BC19/12*2*$E19*$G19*$H19*$N19*$BD$11)+(BC19/12*10*$F19*$G19*$H19*$N19*$BD$12)</f>
        <v>38987937.408</v>
      </c>
      <c r="BE19" s="123">
        <v>120</v>
      </c>
      <c r="BF19" s="123">
        <f>(BE19/12*10*$F19*$G19*$H19*$N19*$BF$12)</f>
        <v>6777734.879999999</v>
      </c>
      <c r="BG19" s="123">
        <v>4</v>
      </c>
      <c r="BH19" s="123">
        <f>(BG19/12*2*$E19*$G19*$H19*$N19*$BH$11)+(BG19/12*10*$F19*$G19*$H19*$N19*$BH$11)</f>
        <v>242060.90630399995</v>
      </c>
      <c r="BI19" s="123">
        <v>182</v>
      </c>
      <c r="BJ19" s="126">
        <f>(BI19/12*2*$E19*$G19*$H19*$N19*$BJ$11)+(BI19/12*10*$F19*$G19*$H19*$N19*$BJ$11)</f>
        <v>14685028.315775994</v>
      </c>
      <c r="BK19" s="123">
        <v>120</v>
      </c>
      <c r="BL19" s="127">
        <f>(BK19/12*2*$E19*$G19*$H19*$N19*$BL$11)+(BK19/12*10*$F19*$G19*$H19*$N19*$BL$11)</f>
        <v>9682436.2521599978</v>
      </c>
      <c r="BM19" s="123"/>
      <c r="BN19" s="123">
        <f>(BM19/12*2*$E19*$G19*$H19*$M19*$BN$11)+(BM19/12*10*$F19*$G19*$H19*$M19*$BN$11)</f>
        <v>0</v>
      </c>
      <c r="BO19" s="123"/>
      <c r="BP19" s="123">
        <f>(BO19/12*2*$E19*$G19*$H19*$M19*$BP$11)+(BO19/12*10*$F19*$G19*$H19*$M19*$BP$12)</f>
        <v>0</v>
      </c>
      <c r="BQ19" s="123"/>
      <c r="BR19" s="123">
        <f>(BQ19/12*2*$E19*$G19*$H19*$M19*$BR$11)+(BQ19/12*10*$F19*$G19*$H19*$M19*$BR$11)</f>
        <v>0</v>
      </c>
      <c r="BS19" s="123">
        <v>120</v>
      </c>
      <c r="BT19" s="123">
        <f>(BS19/12*2*$E19*$G19*$H19*$N19*$BT$11)+(BS19/12*10*$F19*$G19*$H19*$N19*$BT$11)</f>
        <v>8068696.8767999988</v>
      </c>
      <c r="BU19" s="123"/>
      <c r="BV19" s="126">
        <f>(BU19/12*2*$E19*$G19*$H19*$M19*$BV$11)+(BU19/12*10*$F19*$G19*$H19*$M19*$BV$11)</f>
        <v>0</v>
      </c>
      <c r="BW19" s="123"/>
      <c r="BX19" s="123">
        <f>(BW19/12*2*$E19*$G19*$H19*$M19*$BX$11)+(BW19/12*10*$F19*$G19*$H19*$M19*$BX$11)</f>
        <v>0</v>
      </c>
      <c r="BY19" s="123">
        <v>60</v>
      </c>
      <c r="BZ19" s="123">
        <f>(BY19/12*2*$E19*$G19*$H19*$M19*$BZ$11)+(BY19/12*10*$F19*$G19*$H19*$M19*$BZ$11)</f>
        <v>3361957.0319999997</v>
      </c>
      <c r="CA19" s="123"/>
      <c r="CB19" s="123">
        <f>(CA19/12*2*$E19*$G19*$H19*$M19*$CB$11)+(CA19/12*10*$F19*$G19*$H19*$M19*$CB$11)</f>
        <v>0</v>
      </c>
      <c r="CC19" s="123">
        <v>94</v>
      </c>
      <c r="CD19" s="123">
        <f>(CC19/12*2*$E19*$G19*$H19*$M19*$CD$11)+(CC19/12*10*$F19*$G19*$H19*$M19*$CD$11)</f>
        <v>5267066.0167999985</v>
      </c>
      <c r="CE19" s="123">
        <v>125</v>
      </c>
      <c r="CF19" s="123">
        <f>(CE19/12*10*$F19*$G19*$H19*$N19*$CF$11)</f>
        <v>7060140.4999999991</v>
      </c>
      <c r="CG19" s="132"/>
      <c r="CH19" s="123">
        <f>(CG19/12*2*$E19*$G19*$H19*$N19*$CH$11)+(CG19/12*10*$F19*$G19*$H19*$N19*$CH$11)</f>
        <v>0</v>
      </c>
      <c r="CI19" s="123"/>
      <c r="CJ19" s="127">
        <f>(CI19*$E19*$G19*$H19*$N19*CJ$11)</f>
        <v>0</v>
      </c>
      <c r="CK19" s="123"/>
      <c r="CL19" s="123">
        <f>(CK19/12*2*$E19*$G19*$H19*$N19*$CL$11)+(CK19/12*10*$F19*$G19*$H19*$N19*$CL$12)</f>
        <v>0</v>
      </c>
      <c r="CM19" s="130">
        <v>1</v>
      </c>
      <c r="CN19" s="123">
        <f>(CM19/12*2*$E19*$G19*$H19*$N19*$CN$11)+(CM19/12*10*$F19*$G19*$H19*$N19*$CN$11)</f>
        <v>67239.140639999983</v>
      </c>
      <c r="CO19" s="123"/>
      <c r="CP19" s="123">
        <f>(CO19/12*2*$E19*$G19*$H19*$N19*$CP$11)+(CO19/12*10*$F19*$G19*$H19*$N19*$CP$11)</f>
        <v>0</v>
      </c>
      <c r="CQ19" s="123">
        <v>4</v>
      </c>
      <c r="CR19" s="123">
        <f>(CQ19/12*2*$E19*$G19*$H19*$O19*$CR$11)+(CQ19/12*10*$F19*$G19*$H19*$O19*$CR$11)</f>
        <v>357007.81815999991</v>
      </c>
      <c r="CS19" s="123">
        <v>17</v>
      </c>
      <c r="CT19" s="133">
        <f>(CS19/12*2*$E19*$G19*$H19*$P19*$CT$11)+(CS19/12*10*$F19*$G19*$H19*$P19*$CT$11)</f>
        <v>1748617.8896199998</v>
      </c>
      <c r="CU19" s="134"/>
      <c r="CV19" s="134"/>
      <c r="CW19" s="126">
        <f t="shared" ref="CW19:CX21" si="6">SUM(Q19,S19,U19,W19,Y19,AA19,AC19,AE19,AG19,AM19,BQ19,AI19,AU19,CC19,AW19,AY19,AK19,BC19,AO19,AQ19,BE19,CE19,BG19,BI19,BK19,BS19,BM19,BO19,BU19,BW19,BY19,CA19,CG19,BA19,AS19,CI19,CK19,CM19,CO19,CQ19,CS19,CU19)</f>
        <v>6813</v>
      </c>
      <c r="CX19" s="126">
        <f t="shared" si="6"/>
        <v>485894891.02811998</v>
      </c>
    </row>
    <row r="20" spans="1:102" ht="15.75" customHeight="1" x14ac:dyDescent="0.25">
      <c r="A20" s="91"/>
      <c r="B20" s="116">
        <v>5</v>
      </c>
      <c r="C20" s="117" t="s">
        <v>127</v>
      </c>
      <c r="D20" s="118" t="s">
        <v>128</v>
      </c>
      <c r="E20" s="95">
        <v>28004</v>
      </c>
      <c r="F20" s="96">
        <v>29405</v>
      </c>
      <c r="G20" s="120">
        <v>1.01</v>
      </c>
      <c r="H20" s="110">
        <v>1.4</v>
      </c>
      <c r="I20" s="108"/>
      <c r="J20" s="108"/>
      <c r="K20" s="108"/>
      <c r="L20" s="63"/>
      <c r="M20" s="120">
        <v>1.4</v>
      </c>
      <c r="N20" s="120">
        <v>1.68</v>
      </c>
      <c r="O20" s="120">
        <v>2.23</v>
      </c>
      <c r="P20" s="121">
        <v>2.57</v>
      </c>
      <c r="Q20" s="122">
        <v>2</v>
      </c>
      <c r="R20" s="123">
        <f>(Q20/12*2*$E20*$G20*$H20*$M20*$R$11)+(Q20/12*10*$F20*$G20*$H20*$M20*$R$11)</f>
        <v>127045.38307999999</v>
      </c>
      <c r="S20" s="124"/>
      <c r="T20" s="125">
        <f>(S20/12*2*$E20*$G20*$H20*$M20*$R$11)+(S20/12*10*$F20*$G20*$H20*$M20*$R$11)</f>
        <v>0</v>
      </c>
      <c r="U20" s="123"/>
      <c r="V20" s="123">
        <f>(U20/12*2*$E20*$G20*$H20*$M20*$V$11)+(U20/12*10*$F20*$G20*$H20*$M20*$V$12)</f>
        <v>0</v>
      </c>
      <c r="W20" s="123">
        <v>1480</v>
      </c>
      <c r="X20" s="126">
        <f>(W20/12*2*$E20*$G20*$H20*$M20*$X$11)+(W20/12*10*$F20*$G20*$H20*$M20*$X$12)</f>
        <v>114628176.45346664</v>
      </c>
      <c r="Y20" s="123"/>
      <c r="Z20" s="123">
        <f>(Y20/12*2*$E20*$G20*$H20*$M20*$Z$11)+(Y20/12*10*$F20*$G20*$H20*$M20*$Z$12)</f>
        <v>0</v>
      </c>
      <c r="AA20" s="123"/>
      <c r="AB20" s="123">
        <f>(AA20/12*2*$E20*$G20*$H20*$M20*$AB$11)+(AA20/12*10*$F20*$G20*$H20*$M20*$AB$11)</f>
        <v>0</v>
      </c>
      <c r="AC20" s="123"/>
      <c r="AD20" s="123"/>
      <c r="AE20" s="123"/>
      <c r="AF20" s="123">
        <f>(AE20/12*2*$E20*$G20*$H20*$M20*$AF$11)+(AE20/12*10*$F20*$G20*$H20*$M20*$AF$11)</f>
        <v>0</v>
      </c>
      <c r="AG20" s="123"/>
      <c r="AH20" s="126">
        <f>(AG20/12*2*$E20*$G20*$H20*$M20*$AH$11)+(AG20/12*10*$F20*$G20*$H20*$M20*$AH$11)</f>
        <v>0</v>
      </c>
      <c r="AI20" s="137"/>
      <c r="AJ20" s="123">
        <f t="shared" si="4"/>
        <v>0</v>
      </c>
      <c r="AK20" s="123">
        <f>560-3</f>
        <v>557</v>
      </c>
      <c r="AL20" s="123">
        <f t="shared" si="5"/>
        <v>49854076.015827999</v>
      </c>
      <c r="AM20" s="132"/>
      <c r="AN20" s="123">
        <f>(AM20/12*2*$E20*$G20*$H20*$N20*$AN$11)+(AM20/12*10*$F20*$G20*$H20*$N20*$AN$12)</f>
        <v>0</v>
      </c>
      <c r="AO20" s="130"/>
      <c r="AP20" s="127">
        <f>(AO20/12*2*$E20*$G20*$H20*$N20*$AP$11)+(AO20/12*10*$F20*$G20*$H20*$N20*$AP$11)</f>
        <v>0</v>
      </c>
      <c r="AQ20" s="127">
        <v>0</v>
      </c>
      <c r="AR20" s="127">
        <v>0</v>
      </c>
      <c r="AS20" s="123"/>
      <c r="AT20" s="123">
        <f>(AS20/12*2*$E20*$G20*$H20*$M20*$AT$11)+(AS20/12*10*$F20*$G20*$H20*$M20*$AT$11)</f>
        <v>0</v>
      </c>
      <c r="AU20" s="123">
        <f>1430-23</f>
        <v>1407</v>
      </c>
      <c r="AV20" s="126">
        <f>(AU20/12*2*$E20*$G20*$H20*$M20*$AV$11)+(AU20/12*10*$F20*$G20*$H20*$M20*$AV$12)</f>
        <v>93406473.515459985</v>
      </c>
      <c r="AW20" s="123">
        <v>61</v>
      </c>
      <c r="AX20" s="123">
        <f>(AW20/12*2*$E20*$G20*$H20*$M20*$AX$11)+(AW20/12*10*$F20*$G20*$H20*$M20*$AX$12)</f>
        <v>4049605.4615799994</v>
      </c>
      <c r="AY20" s="123">
        <v>12</v>
      </c>
      <c r="AZ20" s="123">
        <f>(AY20/12*2*$E20*$G20*$H20*$N20*$AZ$11)+(AY20/12*10*$F20*$G20*$H20*$N20*$AZ$11)</f>
        <v>914726.75817599986</v>
      </c>
      <c r="BA20" s="123"/>
      <c r="BB20" s="123">
        <f>(BA20/12*2*$E20*$G20*$H20*$N20*$BB$11)+(BA20/12*10*$F20*$G20*$H20*$N20*$BB$12)</f>
        <v>0</v>
      </c>
      <c r="BC20" s="132">
        <v>370</v>
      </c>
      <c r="BD20" s="126">
        <f>(BC20/12*2*$E20*$G20*$H20*$N20*$BD$11)+(BC20/12*10*$F20*$G20*$H20*$N20*$BD$12)</f>
        <v>24778558.179199994</v>
      </c>
      <c r="BE20" s="123">
        <v>50</v>
      </c>
      <c r="BF20" s="123">
        <f>(BE20/12*10*$F20*$G20*$H20*$N20*$BF$12)</f>
        <v>2910506.9</v>
      </c>
      <c r="BG20" s="123"/>
      <c r="BH20" s="123">
        <f>(BG20/12*2*$E20*$G20*$H20*$N20*$BH$11)+(BG20/12*10*$F20*$G20*$H20*$N20*$BH$11)</f>
        <v>0</v>
      </c>
      <c r="BI20" s="123">
        <v>74</v>
      </c>
      <c r="BJ20" s="126">
        <f>(BI20/12*2*$E20*$G20*$H20*$N20*$BJ$11)+(BI20/12*10*$F20*$G20*$H20*$N20*$BJ$11)</f>
        <v>6153616.3731840001</v>
      </c>
      <c r="BK20" s="123">
        <v>78</v>
      </c>
      <c r="BL20" s="127">
        <f>(BK20/12*2*$E20*$G20*$H20*$N20*$BL$11)+(BK20/12*10*$F20*$G20*$H20*$N20*$BL$11)</f>
        <v>6486244.2852479983</v>
      </c>
      <c r="BM20" s="123"/>
      <c r="BN20" s="123">
        <f>(BM20/12*2*$E20*$G20*$H20*$M20*$BN$11)+(BM20/12*10*$F20*$G20*$H20*$M20*$BN$11)</f>
        <v>0</v>
      </c>
      <c r="BO20" s="123"/>
      <c r="BP20" s="123">
        <f>(BO20/12*2*$E20*$G20*$H20*$M20*$BP$11)+(BO20/12*10*$F20*$G20*$H20*$M20*$BP$12)</f>
        <v>0</v>
      </c>
      <c r="BQ20" s="123"/>
      <c r="BR20" s="123">
        <f>(BQ20/12*2*$E20*$G20*$H20*$M20*$BR$11)+(BQ20/12*10*$F20*$G20*$H20*$M20*$BR$11)</f>
        <v>0</v>
      </c>
      <c r="BS20" s="123">
        <v>6</v>
      </c>
      <c r="BT20" s="123">
        <f>(BS20/12*2*$E20*$G20*$H20*$N20*$BT$11)+(BS20/12*10*$F20*$G20*$H20*$N20*$BT$11)</f>
        <v>415784.89007999992</v>
      </c>
      <c r="BU20" s="123"/>
      <c r="BV20" s="126">
        <f>(BU20/12*2*$E20*$G20*$H20*$M20*$BV$11)+(BU20/12*10*$F20*$G20*$H20*$M20*$BV$11)</f>
        <v>0</v>
      </c>
      <c r="BW20" s="123"/>
      <c r="BX20" s="123">
        <f>(BW20/12*2*$E20*$G20*$H20*$M20*$BX$11)+(BW20/12*10*$F20*$G20*$H20*$M20*$BX$11)</f>
        <v>0</v>
      </c>
      <c r="BY20" s="123">
        <v>10</v>
      </c>
      <c r="BZ20" s="123">
        <f>(BY20/12*2*$E20*$G20*$H20*$M20*$BZ$11)+(BY20/12*10*$F20*$G20*$H20*$M20*$BZ$11)</f>
        <v>577479.01399999997</v>
      </c>
      <c r="CA20" s="123"/>
      <c r="CB20" s="123">
        <f>(CA20/12*2*$E20*$G20*$H20*$M20*$CB$11)+(CA20/12*10*$F20*$G20*$H20*$M20*$CB$11)</f>
        <v>0</v>
      </c>
      <c r="CC20" s="123">
        <v>12</v>
      </c>
      <c r="CD20" s="123">
        <f>(CC20/12*2*$E20*$G20*$H20*$M20*$CD$11)+(CC20/12*10*$F20*$G20*$H20*$M20*$CD$11)</f>
        <v>692974.81679999991</v>
      </c>
      <c r="CE20" s="123">
        <v>15</v>
      </c>
      <c r="CF20" s="123">
        <f>(CE20/12*10*$F20*$G20*$H20*$N20*$CF$11)</f>
        <v>873152.06999999983</v>
      </c>
      <c r="CG20" s="132"/>
      <c r="CH20" s="123">
        <f>(CG20/12*2*$E20*$G20*$H20*$N20*$CH$11)+(CG20/12*10*$F20*$G20*$H20*$N20*$CH$11)</f>
        <v>0</v>
      </c>
      <c r="CI20" s="123"/>
      <c r="CJ20" s="127">
        <f>(CI20*$E20*$G20*$H20*$N20*CJ$11)</f>
        <v>0</v>
      </c>
      <c r="CK20" s="123"/>
      <c r="CL20" s="123">
        <f>(CK20/12*2*$E20*$G20*$H20*$N20*$CL$11)+(CK20/12*10*$F20*$G20*$H20*$N20*$CL$12)</f>
        <v>0</v>
      </c>
      <c r="CM20" s="130"/>
      <c r="CN20" s="123">
        <f>(CM20/12*2*$E20*$G20*$H20*$N20*$CN$11)+(CM20/12*10*$F20*$G20*$H20*$N20*$CN$11)</f>
        <v>0</v>
      </c>
      <c r="CO20" s="123"/>
      <c r="CP20" s="123">
        <f>(CO20/12*2*$E20*$G20*$H20*$N20*$CP$11)+(CO20/12*10*$F20*$G20*$H20*$N20*$CP$11)</f>
        <v>0</v>
      </c>
      <c r="CQ20" s="123"/>
      <c r="CR20" s="123">
        <f>(CQ20/12*2*$E20*$G20*$H20*$O20*$CR$11)+(CQ20/12*10*$F20*$G20*$H20*$O20*$CR$11)</f>
        <v>0</v>
      </c>
      <c r="CS20" s="123">
        <v>3</v>
      </c>
      <c r="CT20" s="133">
        <f>(CS20/12*2*$E20*$G20*$H20*$P20*$CT$11)+(CS20/12*10*$F20*$G20*$H20*$P20*$CT$11)</f>
        <v>318025.94270999997</v>
      </c>
      <c r="CU20" s="134"/>
      <c r="CV20" s="134"/>
      <c r="CW20" s="126">
        <f t="shared" si="6"/>
        <v>4137</v>
      </c>
      <c r="CX20" s="126">
        <f t="shared" si="6"/>
        <v>306186446.05881256</v>
      </c>
    </row>
    <row r="21" spans="1:102" ht="23.25" customHeight="1" x14ac:dyDescent="0.25">
      <c r="A21" s="91"/>
      <c r="B21" s="116">
        <v>6</v>
      </c>
      <c r="C21" s="117" t="s">
        <v>129</v>
      </c>
      <c r="D21" s="118" t="s">
        <v>130</v>
      </c>
      <c r="E21" s="95">
        <v>28004</v>
      </c>
      <c r="F21" s="96">
        <v>29405</v>
      </c>
      <c r="G21" s="119">
        <v>0.74</v>
      </c>
      <c r="H21" s="110">
        <v>1.1499999999999999</v>
      </c>
      <c r="I21" s="108"/>
      <c r="J21" s="108"/>
      <c r="K21" s="108"/>
      <c r="L21" s="63"/>
      <c r="M21" s="120">
        <v>1.4</v>
      </c>
      <c r="N21" s="120">
        <v>1.68</v>
      </c>
      <c r="O21" s="120">
        <v>2.23</v>
      </c>
      <c r="P21" s="121">
        <v>2.57</v>
      </c>
      <c r="Q21" s="122">
        <v>5</v>
      </c>
      <c r="R21" s="123">
        <f>(Q21/12*2*$E21*$G21*$H21*$M21*$R$11)+(Q21/12*10*$F21*$G21*$H21*$M21*$R$11)</f>
        <v>191152.08804999996</v>
      </c>
      <c r="S21" s="124"/>
      <c r="T21" s="125">
        <f>(S21/12*2*$E21*$G21*$H21*$M21*$R$11)+(S21/12*10*$F21*$G21*$H21*$M21*$R$11)</f>
        <v>0</v>
      </c>
      <c r="U21" s="123"/>
      <c r="V21" s="123">
        <f>(U21/12*2*$E21*$G21*$H21*$M21*$V$11)+(U21/12*10*$F21*$G21*$H21*$M21*$V$12)</f>
        <v>0</v>
      </c>
      <c r="W21" s="123">
        <v>85</v>
      </c>
      <c r="X21" s="126">
        <f>(W21/12*2*$E21*$G21*$H21*$M21*$X$11)+(W21/12*10*$F21*$G21*$H21*$M21*$X$12)</f>
        <v>3962130.2151083327</v>
      </c>
      <c r="Y21" s="123"/>
      <c r="Z21" s="123">
        <f>(Y21/12*2*$E21*$G21*$H21*$M21*$Z$11)+(Y21/12*10*$F21*$G21*$H21*$M21*$Z$12)</f>
        <v>0</v>
      </c>
      <c r="AA21" s="123"/>
      <c r="AB21" s="123">
        <f>(AA21/12*2*$E21*$G21*$H21*$M21*$AB$11)+(AA21/12*10*$F21*$G21*$H21*$M21*$AB$11)</f>
        <v>0</v>
      </c>
      <c r="AC21" s="123"/>
      <c r="AD21" s="123"/>
      <c r="AE21" s="123"/>
      <c r="AF21" s="127">
        <f>(AE21/12*2*$E21*$G21*$H21*$M21*$AF$11)+(AE21/12*10*$F21*$G21*$H21*$M21*$AF$11)</f>
        <v>0</v>
      </c>
      <c r="AG21" s="123">
        <v>5</v>
      </c>
      <c r="AH21" s="126">
        <f>(AG21/12*2*$E21*$G21*$H21*$M21*$AH$11)+(AG21/12*10*$F21*$G21*$H21*$M21*$AH$11)</f>
        <v>191152.08804999996</v>
      </c>
      <c r="AI21" s="138">
        <v>4</v>
      </c>
      <c r="AJ21" s="123">
        <f t="shared" si="4"/>
        <v>179557.83995333331</v>
      </c>
      <c r="AK21" s="123">
        <v>7</v>
      </c>
      <c r="AL21" s="123">
        <f t="shared" si="5"/>
        <v>377071.46390199999</v>
      </c>
      <c r="AM21" s="132"/>
      <c r="AN21" s="123">
        <f>(AM21/12*2*$E21*$G21*$H21*$N21*$AN$11)+(AM21/12*10*$F21*$G21*$H21*$N21*$AN$12)</f>
        <v>0</v>
      </c>
      <c r="AO21" s="130"/>
      <c r="AP21" s="127">
        <f>(AO21/12*2*$E21*$G21*$H21*$N21*$AP$11)+(AO21/12*10*$F21*$G21*$H21*$N21*$AP$11)</f>
        <v>0</v>
      </c>
      <c r="AQ21" s="127">
        <v>0</v>
      </c>
      <c r="AR21" s="127">
        <v>0</v>
      </c>
      <c r="AS21" s="123"/>
      <c r="AT21" s="123">
        <f>(AS21/12*2*$E21*$G21*$H21*$M21*$AT$11)+(AS21/12*10*$F21*$G21*$H21*$M21*$AT$11)</f>
        <v>0</v>
      </c>
      <c r="AU21" s="123"/>
      <c r="AV21" s="126">
        <f>(AU21/12*2*$E21*$G21*$H21*$M21*$AV$11)+(AU21/12*10*$F21*$G21*$H21*$M21*$AV$12)</f>
        <v>0</v>
      </c>
      <c r="AW21" s="123"/>
      <c r="AX21" s="123">
        <f>(AW21/12*2*$E21*$G21*$H21*$M21*$AX$11)+(AW21/12*10*$F21*$G21*$H21*$M21*$AX$12)</f>
        <v>0</v>
      </c>
      <c r="AY21" s="123">
        <v>5</v>
      </c>
      <c r="AZ21" s="123">
        <f>(AY21/12*2*$E21*$G21*$H21*$N21*$AZ$11)+(AY21/12*10*$F21*$G21*$H21*$N21*$AZ$11)</f>
        <v>229382.50565999997</v>
      </c>
      <c r="BA21" s="123"/>
      <c r="BB21" s="123">
        <f>(BA21/12*2*$E21*$G21*$H21*$N21*$BB$11)+(BA21/12*10*$F21*$G21*$H21*$N21*$BB$12)</f>
        <v>0</v>
      </c>
      <c r="BC21" s="132">
        <v>26</v>
      </c>
      <c r="BD21" s="126">
        <f>(BC21/12*2*$E21*$G21*$H21*$N21*$BD$11)+(BC21/12*10*$F21*$G21*$H21*$N21*$BD$12)</f>
        <v>1047919.2214399998</v>
      </c>
      <c r="BE21" s="123"/>
      <c r="BF21" s="123">
        <f>(BE21/12*10*$F21*$G21*$H21*$N21*$BF$12)</f>
        <v>0</v>
      </c>
      <c r="BG21" s="123"/>
      <c r="BH21" s="123">
        <f>(BG21/12*2*$E21*$G21*$H21*$N21*$BH$11)+(BG21/12*10*$F21*$G21*$H21*$N21*$BH$11)</f>
        <v>0</v>
      </c>
      <c r="BI21" s="123">
        <v>4</v>
      </c>
      <c r="BJ21" s="126">
        <f>(BI21/12*2*$E21*$G21*$H21*$N21*$BJ$11)+(BI21/12*10*$F21*$G21*$H21*$N21*$BJ$11)</f>
        <v>200188.36857599995</v>
      </c>
      <c r="BK21" s="123">
        <v>1</v>
      </c>
      <c r="BL21" s="127">
        <f>(BK21/12*2*$E21*$G21*$H21*$N21*$BL$11)+(BK21/12*10*$F21*$G21*$H21*$N21*$BL$11)</f>
        <v>50047.092143999987</v>
      </c>
      <c r="BM21" s="123"/>
      <c r="BN21" s="123">
        <f>(BM21/12*2*$E21*$G21*$H21*$M21*$BN$11)+(BM21/12*10*$F21*$G21*$H21*$M21*$BN$11)</f>
        <v>0</v>
      </c>
      <c r="BO21" s="123"/>
      <c r="BP21" s="123">
        <f>(BO21/12*2*$E21*$G21*$H21*$M21*$BP$11)+(BO21/12*10*$F21*$G21*$H21*$M21*$BP$12)</f>
        <v>0</v>
      </c>
      <c r="BQ21" s="123"/>
      <c r="BR21" s="123">
        <f>(BQ21/12*2*$E21*$G21*$H21*$M21*$BR$11)+(BQ21/12*10*$F21*$G21*$H21*$M21*$BR$11)</f>
        <v>0</v>
      </c>
      <c r="BS21" s="123">
        <v>3</v>
      </c>
      <c r="BT21" s="123">
        <f>(BS21/12*2*$E21*$G21*$H21*$N21*$BT$11)+(BS21/12*10*$F21*$G21*$H21*$N21*$BT$11)</f>
        <v>125117.73035999999</v>
      </c>
      <c r="BU21" s="123"/>
      <c r="BV21" s="126">
        <f>(BU21/12*2*$E21*$G21*$H21*$M21*$BV$11)+(BU21/12*10*$F21*$G21*$H21*$M21*$BV$11)</f>
        <v>0</v>
      </c>
      <c r="BW21" s="123"/>
      <c r="BX21" s="123">
        <f>(BW21/12*2*$E21*$G21*$H21*$M21*$BX$11)+(BW21/12*10*$F21*$G21*$H21*$M21*$BX$11)</f>
        <v>0</v>
      </c>
      <c r="BY21" s="123"/>
      <c r="BZ21" s="123">
        <f>(BY21/12*2*$E21*$G21*$H21*$M21*$BZ$11)+(BY21/12*10*$F21*$G21*$H21*$M21*$BZ$11)</f>
        <v>0</v>
      </c>
      <c r="CA21" s="123"/>
      <c r="CB21" s="123">
        <f>(CA21/12*2*$E21*$G21*$H21*$M21*$CB$11)+(CA21/12*10*$F21*$G21*$H21*$M21*$CB$11)</f>
        <v>0</v>
      </c>
      <c r="CC21" s="123"/>
      <c r="CD21" s="123">
        <f>(CC21/12*2*$E21*$G21*$H21*$M21*$CD$11)+(CC21/12*10*$F21*$G21*$H21*$M21*$CD$11)</f>
        <v>0</v>
      </c>
      <c r="CE21" s="123">
        <v>5</v>
      </c>
      <c r="CF21" s="123">
        <f>(CE21/12*10*$F21*$G21*$H21*$N21*$CF$11)</f>
        <v>175165.58499999996</v>
      </c>
      <c r="CG21" s="132"/>
      <c r="CH21" s="123">
        <f>(CG21/12*2*$E21*$G21*$H21*$N21*$CH$11)+(CG21/12*10*$F21*$G21*$H21*$N21*$CH$11)</f>
        <v>0</v>
      </c>
      <c r="CI21" s="123"/>
      <c r="CJ21" s="127">
        <f>(CI21*$E21*$G21*$H21*$N21*CJ$11)</f>
        <v>0</v>
      </c>
      <c r="CK21" s="123"/>
      <c r="CL21" s="123">
        <f>(CK21/12*2*$E21*$G21*$H21*$N21*$CL$11)+(CK21/12*10*$F21*$G21*$H21*$N21*$CL$12)</f>
        <v>0</v>
      </c>
      <c r="CM21" s="130"/>
      <c r="CN21" s="123">
        <f>(CM21/12*2*$E21*$G21*$H21*$N21*$CN$11)+(CM21/12*10*$F21*$G21*$H21*$N21*$CN$11)</f>
        <v>0</v>
      </c>
      <c r="CO21" s="123">
        <v>1</v>
      </c>
      <c r="CP21" s="123">
        <v>42039.74</v>
      </c>
      <c r="CQ21" s="123"/>
      <c r="CR21" s="123">
        <f>(CQ21/12*2*$E21*$G21*$H21*$O21*$CR$11)+(CQ21/12*10*$F21*$G21*$H21*$O21*$CR$11)</f>
        <v>0</v>
      </c>
      <c r="CS21" s="123"/>
      <c r="CT21" s="133">
        <f>(CS21/12*2*$E21*$G21*$H21*$P21*$CT$11)+(CS21/12*10*$F21*$G21*$H21*$P21*$CT$11)</f>
        <v>0</v>
      </c>
      <c r="CU21" s="127"/>
      <c r="CV21" s="127"/>
      <c r="CW21" s="126">
        <f t="shared" si="6"/>
        <v>151</v>
      </c>
      <c r="CX21" s="126">
        <f t="shared" si="6"/>
        <v>6770923.9382436667</v>
      </c>
    </row>
    <row r="22" spans="1:102" s="139" customFormat="1" ht="18" customHeight="1" x14ac:dyDescent="0.25">
      <c r="A22" s="91"/>
      <c r="B22" s="116">
        <v>7</v>
      </c>
      <c r="C22" s="117" t="s">
        <v>131</v>
      </c>
      <c r="D22" s="118" t="s">
        <v>132</v>
      </c>
      <c r="E22" s="95">
        <v>28004</v>
      </c>
      <c r="F22" s="96">
        <v>29405</v>
      </c>
      <c r="G22" s="119">
        <v>3.21</v>
      </c>
      <c r="H22" s="107">
        <v>1</v>
      </c>
      <c r="I22" s="108"/>
      <c r="J22" s="108"/>
      <c r="K22" s="108"/>
      <c r="L22" s="63"/>
      <c r="M22" s="120">
        <v>1.4</v>
      </c>
      <c r="N22" s="120">
        <v>1.68</v>
      </c>
      <c r="O22" s="120">
        <v>2.23</v>
      </c>
      <c r="P22" s="121">
        <v>2.57</v>
      </c>
      <c r="Q22" s="122"/>
      <c r="R22" s="123">
        <f>(Q22/12*2*$E22*$G22*$H22*$M22)+(Q22/12*10*$F22*$G22*$H22*$M22)</f>
        <v>0</v>
      </c>
      <c r="S22" s="124"/>
      <c r="T22" s="125">
        <f>(S22/12*2*$E22*$G22*$H22*$M22)+(S22/12*10*$F22*$G22*$H22*$M22)</f>
        <v>0</v>
      </c>
      <c r="U22" s="123"/>
      <c r="V22" s="123">
        <f>(U22/12*2*$E22*$G22*$H22*$M22)+(U22/12*10*$F22*$G22*$H22*$M22)</f>
        <v>0</v>
      </c>
      <c r="W22" s="123">
        <v>5</v>
      </c>
      <c r="X22" s="123">
        <f>(W22/12*2*$E22*$G22*$H22*$M22)+(W22/12*10*$F22*$G22*$H22*$M22)</f>
        <v>655483.60499999998</v>
      </c>
      <c r="Y22" s="123"/>
      <c r="Z22" s="123">
        <f>(Y22/12*2*$E22*$G22*$H22*$M22)+(Y22/12*10*$F22*$G22*$H22*$M22)</f>
        <v>0</v>
      </c>
      <c r="AA22" s="123"/>
      <c r="AB22" s="123">
        <f>(AA22/12*2*$E22*$G22*$H22*$M22)+(AA22/12*10*$F22*$G22*$H22*$M22)</f>
        <v>0</v>
      </c>
      <c r="AC22" s="123"/>
      <c r="AD22" s="123"/>
      <c r="AE22" s="123"/>
      <c r="AF22" s="127">
        <f>(AE22/12*2*$E22*$G22*$H22*$M22)+(AE22/12*10*$F22*$G22*$H22*$M22)</f>
        <v>0</v>
      </c>
      <c r="AG22" s="123">
        <v>1</v>
      </c>
      <c r="AH22" s="123">
        <f>(AG22/12*2*$E22*$G22*$H22*$M22)+(AG22/12*10*$F22*$G22*$H22*$M22)</f>
        <v>131096.72099999996</v>
      </c>
      <c r="AI22" s="138"/>
      <c r="AJ22" s="123">
        <f>(AI22/12*2*$E22*$G22*$H22*$M22)+(AI22/12*10*$F22*$G22*$H22*$M22)</f>
        <v>0</v>
      </c>
      <c r="AK22" s="123"/>
      <c r="AL22" s="126">
        <f>(AK22/12*2*$E22*$G22*$H22*$N22)+(AK22/12*10*$F22*$G22*$H22*$N22)</f>
        <v>0</v>
      </c>
      <c r="AM22" s="132"/>
      <c r="AN22" s="123">
        <f>(AM22/12*2*$E22*$G22*$H22*$N22)+(AM22/12*10*$F22*$G22*$H22*$N22)</f>
        <v>0</v>
      </c>
      <c r="AO22" s="130"/>
      <c r="AP22" s="123">
        <f>(AO22/12*2*$E22*$G22*$H22*$N22)+(AO22/12*10*$F22*$G22*$H22*$N22)</f>
        <v>0</v>
      </c>
      <c r="AQ22" s="123">
        <v>0</v>
      </c>
      <c r="AR22" s="123">
        <v>0</v>
      </c>
      <c r="AS22" s="123"/>
      <c r="AT22" s="123"/>
      <c r="AU22" s="123"/>
      <c r="AV22" s="123"/>
      <c r="AW22" s="123"/>
      <c r="AX22" s="123">
        <f>(AW22/12*2*$E22*$G22*$H22*$M22)+(AW22/12*10*$F22*$G22*$H22*$M22)</f>
        <v>0</v>
      </c>
      <c r="AY22" s="123"/>
      <c r="AZ22" s="123">
        <f>(AY22/12*2*$E22*$G22*$H22*$N22)+(AY22/12*10*$F22*$G22*$H22*$N22)</f>
        <v>0</v>
      </c>
      <c r="BA22" s="123"/>
      <c r="BB22" s="123">
        <f>(BA22/12*2*$E22*$G22*$H22*$N22)+(BA22/12*10*$F22*$G22*$H22*$N22)</f>
        <v>0</v>
      </c>
      <c r="BC22" s="132"/>
      <c r="BD22" s="123">
        <f>(BC22/12*2*$E22*$G22*$H22*$N22)+(BC22/12*10*$F22*$G22*$H22*$N22)</f>
        <v>0</v>
      </c>
      <c r="BE22" s="123"/>
      <c r="BF22" s="123">
        <f>(BE22/12*10*$F22*$G22*$H22*$N22)</f>
        <v>0</v>
      </c>
      <c r="BG22" s="123"/>
      <c r="BH22" s="123">
        <f>(BG22/12*2*$E22*$G22*$H22*$N22)+(BG22/12*10*$F22*$G22*$H22*$N22)</f>
        <v>0</v>
      </c>
      <c r="BI22" s="123"/>
      <c r="BJ22" s="123">
        <f>(BI22/12*2*$E22*$G22*$H22*$N22)+(BI22/12*10*$F22*$G22*$H22*$N22)</f>
        <v>0</v>
      </c>
      <c r="BK22" s="123"/>
      <c r="BL22" s="123">
        <f>(BK22/12*2*$E22*$G22*$H22*$N22)+(BK22/12*10*$F22*$G22*$H22*$N22)</f>
        <v>0</v>
      </c>
      <c r="BM22" s="123"/>
      <c r="BN22" s="123">
        <f>(BM22/12*2*$E22*$G22*$H22*$M22)+(BM22/12*10*$F22*$G22*$H22*$M22)</f>
        <v>0</v>
      </c>
      <c r="BO22" s="123"/>
      <c r="BP22" s="123">
        <f>(BO22/12*2*$E22*$G22*$H22*$M22)+(BO22/12*10*$F22*$G22*$H22*$M22)</f>
        <v>0</v>
      </c>
      <c r="BQ22" s="123"/>
      <c r="BR22" s="123">
        <f>(BQ22/12*2*$E22*$G22*$H22*$M22)+(BQ22/12*10*$F22*$G22*$H22*$M22)</f>
        <v>0</v>
      </c>
      <c r="BS22" s="123"/>
      <c r="BT22" s="123">
        <f>(BS22/12*2*$E22*$G22*$H22*$N22)+(BS22/12*10*$F22*$G22*$H22*$N22)</f>
        <v>0</v>
      </c>
      <c r="BU22" s="123"/>
      <c r="BV22" s="123">
        <f>(BU22/12*2*$E22*$G22*$H22*$M22)+(BU22/12*10*$F22*$G22*$H22*$M22)</f>
        <v>0</v>
      </c>
      <c r="BW22" s="123"/>
      <c r="BX22" s="123">
        <f>(BW22/12*2*$E22*$G22*$H22*$M22)+(BW22/12*10*$F22*$G22*$H22*$M22)</f>
        <v>0</v>
      </c>
      <c r="BY22" s="123"/>
      <c r="BZ22" s="123">
        <f>(BY22/12*2*$E22*$G22*$H22*$M22)+(BY22/12*10*$F22*$G22*$H22*$M22)</f>
        <v>0</v>
      </c>
      <c r="CA22" s="123"/>
      <c r="CB22" s="123">
        <f>(CA22/12*2*$E22*$G22*$H22*$M22)+(CA22/12*10*$F22*$G22*$H22*$M22)</f>
        <v>0</v>
      </c>
      <c r="CC22" s="123"/>
      <c r="CD22" s="123">
        <f>(CC22/12*2*$E22*$G22*$H22*$M22)+(CC22/12*10*$F22*$G22*$H22*$M22)</f>
        <v>0</v>
      </c>
      <c r="CE22" s="123"/>
      <c r="CF22" s="123">
        <f>(CE22/12*10*$F22*$G22*$H22*$N22)</f>
        <v>0</v>
      </c>
      <c r="CG22" s="132"/>
      <c r="CH22" s="123">
        <f>(CG22/12*2*$E22*$G22*$H22*$N22)+(CG22/12*10*$F22*$G22*$H22*$N22)</f>
        <v>0</v>
      </c>
      <c r="CI22" s="123"/>
      <c r="CJ22" s="127">
        <f>(CI22*$E22*$G22*$H22*$N22)</f>
        <v>0</v>
      </c>
      <c r="CK22" s="123"/>
      <c r="CL22" s="123">
        <f>(CK22/12*2*$E22*$G22*$H22*$N22)+(CK22/12*10*$F22*$G22*$H22*$N22)</f>
        <v>0</v>
      </c>
      <c r="CM22" s="130"/>
      <c r="CN22" s="123">
        <f>(CM22/12*2*$E22*$G22*$H22*$N22)+(CM22/12*10*$F22*$G22*$H22*$N22)</f>
        <v>0</v>
      </c>
      <c r="CO22" s="123">
        <v>0</v>
      </c>
      <c r="CP22" s="123">
        <v>0</v>
      </c>
      <c r="CQ22" s="123"/>
      <c r="CR22" s="123">
        <f>(CQ22/12*2*$E22*$G22*$H22*$O22)+(CQ22/12*10*$F22*$G22*$H22*$O22)</f>
        <v>0</v>
      </c>
      <c r="CS22" s="123"/>
      <c r="CT22" s="127">
        <f>(CS22/12*2*$E22*$G22*$H22*$P22)+(CS22/12*10*$F22*$G22*$H22*$P22)</f>
        <v>0</v>
      </c>
      <c r="CU22" s="127"/>
      <c r="CV22" s="127"/>
      <c r="CW22" s="126">
        <f>SUM(Q22,S22,U22,W22,Y22,AA22,AC22,AE22,AG22,AM22,BQ22,AI22,AU22,CC22,AW22,AY22,AK22,BC22,AO22,AQ22,BE22,CE22,BG22,BI22,BK22,BS22,BM22,BO22,BU22,BW22,BY22,CA22,CG22,BA22,AS22,CI22,CK22,CM22,CO22,CQ22,CS22,CU22)</f>
        <v>6</v>
      </c>
      <c r="CX22" s="126">
        <f>SUM(R22,T22,V22,X22,Z22,AB22,AD22,AF22,AH22,AN22,BR22,AJ22,AV22,CD22,AX22,AZ22,AL22,BD22,AP22,AR22,BF22,CF22,BH22,BJ22,BL22,BT22,BN22,BP22,BV22,BX22,BZ22,CB22,CH22,BB22,AT22,CJ22,CL22,CN22,CP22,CR22,CT22,CV22)</f>
        <v>786580.32599999988</v>
      </c>
    </row>
    <row r="23" spans="1:102" ht="30" customHeight="1" x14ac:dyDescent="0.25">
      <c r="A23" s="91"/>
      <c r="B23" s="116">
        <v>8</v>
      </c>
      <c r="C23" s="117" t="s">
        <v>133</v>
      </c>
      <c r="D23" s="118" t="s">
        <v>134</v>
      </c>
      <c r="E23" s="95">
        <v>28004</v>
      </c>
      <c r="F23" s="96">
        <v>29405</v>
      </c>
      <c r="G23" s="119">
        <v>0.71</v>
      </c>
      <c r="H23" s="107">
        <v>1</v>
      </c>
      <c r="I23" s="108"/>
      <c r="J23" s="108"/>
      <c r="K23" s="108"/>
      <c r="L23" s="63"/>
      <c r="M23" s="120">
        <v>1.4</v>
      </c>
      <c r="N23" s="120">
        <v>1.68</v>
      </c>
      <c r="O23" s="120">
        <v>2.23</v>
      </c>
      <c r="P23" s="121">
        <v>2.57</v>
      </c>
      <c r="Q23" s="122">
        <v>50</v>
      </c>
      <c r="R23" s="123">
        <f>(Q23/12*2*$E23*$G23*$H23*$M23*$R$11)+(Q23/12*10*$F23*$G23*$H23*$M23*$R$11)</f>
        <v>1594805.905</v>
      </c>
      <c r="S23" s="124"/>
      <c r="T23" s="125">
        <f>(S23/12*2*$E23*$G23*$H23*$M23*$R$11)+(S23/12*10*$F23*$G23*$H23*$M23*$R$11)</f>
        <v>0</v>
      </c>
      <c r="U23" s="123"/>
      <c r="V23" s="123">
        <f>(U23/12*2*$E23*$G23*$H23*$M23*$V$11)+(U23/12*10*$F23*$G23*$H23*$M23*$V$12)</f>
        <v>0</v>
      </c>
      <c r="W23" s="123">
        <v>15</v>
      </c>
      <c r="X23" s="126">
        <f>(W23/12*2*$E23*$G23*$H23*$M23*$X$11)+(W23/12*10*$F23*$G23*$H23*$M23*$X$12)</f>
        <v>583350.89225000003</v>
      </c>
      <c r="Y23" s="123"/>
      <c r="Z23" s="123">
        <f>(Y23/12*2*$E23*$G23*$H23*$M23*$Z$11)+(Y23/12*10*$F23*$G23*$H23*$M23*$Z$12)</f>
        <v>0</v>
      </c>
      <c r="AA23" s="123"/>
      <c r="AB23" s="123">
        <f>(AA23/12*2*$E23*$G23*$H23*$M23*$AB$11)+(AA23/12*10*$F23*$G23*$H23*$M23*$AB$11)</f>
        <v>0</v>
      </c>
      <c r="AC23" s="123"/>
      <c r="AD23" s="123"/>
      <c r="AE23" s="123">
        <f>5+1</f>
        <v>6</v>
      </c>
      <c r="AF23" s="127">
        <f>(AE23/12*2*$E23*$G23*$H23*$M23*$AF$11)+(AE23/12*10*$F23*$G23*$H23*$M23*$AF$11)</f>
        <v>191376.70859999998</v>
      </c>
      <c r="AG23" s="123">
        <f>60-4</f>
        <v>56</v>
      </c>
      <c r="AH23" s="126">
        <f>(AG23/12*2*$E23*$G23*$H23*$M23*$AH$11)+(AG23/12*10*$F23*$G23*$H23*$M23*$AH$11)</f>
        <v>1786182.6136</v>
      </c>
      <c r="AI23" s="138">
        <v>40</v>
      </c>
      <c r="AJ23" s="123">
        <f t="shared" ref="AJ23:AJ27" si="7">(AI23/12*2*$E23*$G23*$H23*$M23*$AJ$11)+(AI23/12*5*$F23*$G23*$H23*$M23*$AJ$12)+(AI23/12*5*$F23*$G23*$H23*$M23*$AJ$13)</f>
        <v>1498073.6353333332</v>
      </c>
      <c r="AK23" s="123"/>
      <c r="AL23" s="123">
        <f t="shared" ref="AL23:AL27" si="8">(AK23/12*2*$E23*$G23*$H23*$N23*$AL$11)+(AK23/12*5*$F23*$G23*$H23*$N23*$AL$12)++(AK23/12*5*$F23*$G23*$H23*$N23*$AL$13)</f>
        <v>0</v>
      </c>
      <c r="AM23" s="132"/>
      <c r="AN23" s="123">
        <f>(AM23/12*2*$E23*$G23*$H23*$N23*$AN$11)+(AM23/12*10*$F23*$G23*$H23*$N23*$AN$12)</f>
        <v>0</v>
      </c>
      <c r="AO23" s="130"/>
      <c r="AP23" s="127">
        <f>(AO23/12*2*$E23*$G23*$H23*$N23*$AP$11)+(AO23/12*10*$F23*$G23*$H23*$N23*$AP$11)</f>
        <v>0</v>
      </c>
      <c r="AQ23" s="127">
        <v>23</v>
      </c>
      <c r="AR23" s="127">
        <v>881864.66999999981</v>
      </c>
      <c r="AS23" s="123"/>
      <c r="AT23" s="123">
        <f>(AS23/12*2*$E23*$G23*$H23*$M23*$AT$11)+(AS23/12*10*$F23*$G23*$H23*$M23*$AT$11)</f>
        <v>0</v>
      </c>
      <c r="AU23" s="123"/>
      <c r="AV23" s="126">
        <f>(AU23/12*2*$E23*$G23*$H23*$M23*$AV$11)+(AU23/12*10*$F23*$G23*$H23*$M23*$AV$12)</f>
        <v>0</v>
      </c>
      <c r="AW23" s="123">
        <v>37</v>
      </c>
      <c r="AX23" s="123">
        <f>(AW23/12*2*$E23*$G23*$H23*$M23*$AX$11)+(AW23/12*10*$F23*$G23*$H23*$M23*$AX$12)</f>
        <v>1233370.4579</v>
      </c>
      <c r="AY23" s="123">
        <v>20</v>
      </c>
      <c r="AZ23" s="123">
        <f>(AY23/12*2*$E23*$G23*$H23*$N23*$AZ$11)+(AY23/12*10*$F23*$G23*$H23*$N23*$AZ$11)</f>
        <v>765506.83440000005</v>
      </c>
      <c r="BA23" s="123"/>
      <c r="BB23" s="123">
        <f>(BA23/12*2*$E23*$G23*$H23*$N23*$BB$11)+(BA23/12*10*$F23*$G23*$H23*$N23*$BB$12)</f>
        <v>0</v>
      </c>
      <c r="BC23" s="123">
        <v>360</v>
      </c>
      <c r="BD23" s="126">
        <f>(BC23/12*2*$E23*$G23*$H23*$N23*$BD$11)+(BC23/12*10*$F23*$G23*$H23*$N23*$BD$12)</f>
        <v>12105584.063999999</v>
      </c>
      <c r="BE23" s="140">
        <v>45</v>
      </c>
      <c r="BF23" s="123">
        <f>(BE23/12*10*$F23*$G23*$H23*$N23*$BF$12)</f>
        <v>1315285.6499999999</v>
      </c>
      <c r="BG23" s="123">
        <v>41</v>
      </c>
      <c r="BH23" s="123">
        <f>(BG23/12*2*$E23*$G23*$H23*$N23*$BH$11)+(BG23/12*10*$F23*$G23*$H23*$N23*$BH$11)</f>
        <v>1283963.7358800001</v>
      </c>
      <c r="BI23" s="123">
        <v>61</v>
      </c>
      <c r="BJ23" s="126">
        <f>(BI23/12*2*$E23*$G23*$H23*$N23*$BJ$11)+(BI23/12*10*$F23*$G23*$H23*$N23*$BJ$11)</f>
        <v>2547050.0126399994</v>
      </c>
      <c r="BK23" s="123">
        <v>20</v>
      </c>
      <c r="BL23" s="127">
        <f>(BK23/12*2*$E23*$G23*$H23*$N23*$BL$11)+(BK23/12*10*$F23*$G23*$H23*$N23*$BL$11)</f>
        <v>835098.3648000001</v>
      </c>
      <c r="BM23" s="123"/>
      <c r="BN23" s="123">
        <f>(BM23/12*2*$E23*$G23*$H23*$M23*$BN$11)+(BM23/12*10*$F23*$G23*$H23*$M23*$BN$11)</f>
        <v>0</v>
      </c>
      <c r="BO23" s="123"/>
      <c r="BP23" s="123">
        <f>(BO23/12*2*$E23*$G23*$H23*$M23*$BP$11)+(BO23/12*10*$F23*$G23*$H23*$M23*$BP$12)</f>
        <v>0</v>
      </c>
      <c r="BQ23" s="123">
        <v>90</v>
      </c>
      <c r="BR23" s="123">
        <f>(BQ23/12*2*$E23*$G23*$H23*$M23*$BR$11)+(BQ23/12*10*$F23*$G23*$H23*$M23*$BR$11)</f>
        <v>2609682.39</v>
      </c>
      <c r="BS23" s="123">
        <v>96</v>
      </c>
      <c r="BT23" s="123">
        <f>(BS23/12*2*$E23*$G23*$H23*$N23*$BT$11)+(BS23/12*10*$F23*$G23*$H23*$N23*$BT$11)</f>
        <v>3340393.4591999995</v>
      </c>
      <c r="BU23" s="123">
        <v>80</v>
      </c>
      <c r="BV23" s="126">
        <f>(BU23/12*2*$E23*$G23*$H23*$M23*$BV$11)+(BU23/12*10*$F23*$G23*$H23*$M23*$BV$11)</f>
        <v>1855774.1439999999</v>
      </c>
      <c r="BW23" s="123">
        <v>20</v>
      </c>
      <c r="BX23" s="123">
        <f>(BW23/12*2*$E23*$G23*$H23*$M23*$BX$11)+(BW23/12*10*$F23*$G23*$H23*$M23*$BX$11)</f>
        <v>463943.53599999996</v>
      </c>
      <c r="BY23" s="123">
        <v>15</v>
      </c>
      <c r="BZ23" s="123">
        <f>(BY23/12*2*$E23*$G23*$H23*$M23*$BZ$11)+(BY23/12*10*$F23*$G23*$H23*$M23*$BZ$11)</f>
        <v>434947.065</v>
      </c>
      <c r="CA23" s="123"/>
      <c r="CB23" s="123">
        <f>(CA23/12*2*$E23*$G23*$H23*$M23*$CB$11)+(CA23/12*10*$F23*$G23*$H23*$M23*$CB$11)</f>
        <v>0</v>
      </c>
      <c r="CC23" s="123">
        <v>11</v>
      </c>
      <c r="CD23" s="123">
        <f>(CC23/12*2*$E23*$G23*$H23*$M23*$CD$11)+(CC23/12*10*$F23*$G23*$H23*$M23*$CD$11)</f>
        <v>318961.18099999992</v>
      </c>
      <c r="CE23" s="123">
        <f>181-38</f>
        <v>143</v>
      </c>
      <c r="CF23" s="123">
        <f>(CE23/12*10*$F23*$G23*$H23*$N23*$CF$11)</f>
        <v>4179685.51</v>
      </c>
      <c r="CG23" s="132"/>
      <c r="CH23" s="123">
        <f>(CG23/12*2*$E23*$G23*$H23*$N23*$CH$11)+(CG23/12*10*$F23*$G23*$H23*$N23*$CH$11)</f>
        <v>0</v>
      </c>
      <c r="CI23" s="123"/>
      <c r="CJ23" s="127">
        <f>(CI23*$E23*$G23*$H23*$N23*CJ$11)</f>
        <v>0</v>
      </c>
      <c r="CK23" s="123"/>
      <c r="CL23" s="123">
        <f>(CK23/12*2*$E23*$G23*$H23*$N23*$CL$11)+(CK23/12*10*$F23*$G23*$H23*$N23*$CL$12)</f>
        <v>0</v>
      </c>
      <c r="CM23" s="130">
        <v>4</v>
      </c>
      <c r="CN23" s="123">
        <f>(CM23/12*2*$E23*$G23*$H23*$N23*$CN$11)+(CM23/12*10*$F23*$G23*$H23*$N23*$CN$11)</f>
        <v>139183.06079999998</v>
      </c>
      <c r="CO23" s="123">
        <v>21</v>
      </c>
      <c r="CP23" s="123">
        <v>167015.84999999998</v>
      </c>
      <c r="CQ23" s="123">
        <v>30</v>
      </c>
      <c r="CR23" s="123">
        <f>(CQ23/12*2*$E23*$G23*$H23*$O23*$CR$11)+(CQ23/12*10*$F23*$G23*$H23*$O23*$CR$11)</f>
        <v>1385617.0785000001</v>
      </c>
      <c r="CS23" s="123">
        <v>55</v>
      </c>
      <c r="CT23" s="133">
        <f>(CS23/12*2*$E23*$G23*$H23*$P23*$CT$11)+(CS23/12*10*$F23*$G23*$H23*$P23*$CT$11)</f>
        <v>2927607.982749999</v>
      </c>
      <c r="CU23" s="127"/>
      <c r="CV23" s="127"/>
      <c r="CW23" s="126">
        <f t="shared" ref="CW23:CX27" si="9">SUM(Q23,S23,U23,W23,Y23,AA23,AC23,AE23,AG23,AM23,BQ23,AI23,AU23,CC23,AW23,AY23,AK23,BC23,AO23,AQ23,BE23,CE23,BG23,BI23,BK23,BS23,BM23,BO23,BU23,BW23,BY23,CA23,CG23,BA23,AS23,CI23,CK23,CM23,CO23,CQ23,CS23,CU23)</f>
        <v>1339</v>
      </c>
      <c r="CX23" s="126">
        <f t="shared" si="9"/>
        <v>44444324.801653333</v>
      </c>
    </row>
    <row r="24" spans="1:102" ht="60" customHeight="1" x14ac:dyDescent="0.25">
      <c r="A24" s="91"/>
      <c r="B24" s="116">
        <v>9</v>
      </c>
      <c r="C24" s="117" t="s">
        <v>135</v>
      </c>
      <c r="D24" s="118" t="s">
        <v>136</v>
      </c>
      <c r="E24" s="95">
        <v>28004</v>
      </c>
      <c r="F24" s="96">
        <v>29405</v>
      </c>
      <c r="G24" s="119">
        <v>0.89</v>
      </c>
      <c r="H24" s="107">
        <v>1</v>
      </c>
      <c r="I24" s="108"/>
      <c r="J24" s="108"/>
      <c r="K24" s="108"/>
      <c r="L24" s="63"/>
      <c r="M24" s="120">
        <v>1.4</v>
      </c>
      <c r="N24" s="120">
        <v>1.68</v>
      </c>
      <c r="O24" s="120">
        <v>2.23</v>
      </c>
      <c r="P24" s="121">
        <v>2.57</v>
      </c>
      <c r="Q24" s="122">
        <v>10</v>
      </c>
      <c r="R24" s="123">
        <f>(Q24/12*2*$E24*$G24*$H24*$M24*$R$11)+(Q24/12*10*$F24*$G24*$H24*$M24*$R$11)</f>
        <v>399824.57900000009</v>
      </c>
      <c r="S24" s="124"/>
      <c r="T24" s="125">
        <f>(S24/12*2*$E24*$G24*$H24*$M24*$R$11)+(S24/12*10*$F24*$G24*$H24*$M24*$R$11)</f>
        <v>0</v>
      </c>
      <c r="U24" s="123"/>
      <c r="V24" s="123">
        <f>(U24/12*2*$E24*$G24*$H24*$M24*$V$11)+(U24/12*10*$F24*$G24*$H24*$M24*$V$12)</f>
        <v>0</v>
      </c>
      <c r="W24" s="123">
        <v>5</v>
      </c>
      <c r="X24" s="126">
        <f>(W24/12*2*$E24*$G24*$H24*$M24*$X$11)+(W24/12*10*$F24*$G24*$H24*$M24*$X$12)</f>
        <v>243747.55591666669</v>
      </c>
      <c r="Y24" s="123">
        <f>5+5</f>
        <v>10</v>
      </c>
      <c r="Z24" s="123">
        <f>(Y24/12*2*$E24*$G24*$H24*$M24*$Z$11)+(Y24/12*10*$F24*$G24*$H24*$M24*$Z$12)</f>
        <v>487495.11183333339</v>
      </c>
      <c r="AA24" s="123"/>
      <c r="AB24" s="123">
        <f>(AA24/12*2*$E24*$G24*$H24*$M24*$AB$11)+(AA24/12*10*$F24*$G24*$H24*$M24*$AB$11)</f>
        <v>0</v>
      </c>
      <c r="AC24" s="123"/>
      <c r="AD24" s="123"/>
      <c r="AE24" s="123"/>
      <c r="AF24" s="127">
        <f>(AE24/12*2*$E24*$G24*$H24*$M24*$AF$11)+(AE24/12*10*$F24*$G24*$H24*$M24*$AF$11)</f>
        <v>0</v>
      </c>
      <c r="AG24" s="123">
        <v>12</v>
      </c>
      <c r="AH24" s="126">
        <f>(AG24/12*2*$E24*$G24*$H24*$M24*$AH$11)+(AG24/12*10*$F24*$G24*$H24*$M24*$AH$11)</f>
        <v>479789.49479999999</v>
      </c>
      <c r="AI24" s="138">
        <v>6</v>
      </c>
      <c r="AJ24" s="123">
        <f t="shared" si="7"/>
        <v>281680.04269999999</v>
      </c>
      <c r="AK24" s="123">
        <v>1</v>
      </c>
      <c r="AL24" s="123">
        <f t="shared" si="8"/>
        <v>56336.008539999995</v>
      </c>
      <c r="AM24" s="132">
        <f>4-2</f>
        <v>2</v>
      </c>
      <c r="AN24" s="123">
        <f>(AM24/12*2*$E24*$G24*$H24*$N24*$AN$11)+(AM24/12*10*$F24*$G24*$H24*$N24*$AN$12)</f>
        <v>116998.82683999999</v>
      </c>
      <c r="AO24" s="130"/>
      <c r="AP24" s="127">
        <f>(AO24/12*2*$E24*$G24*$H24*$N24*$AP$11)+(AO24/12*10*$F24*$G24*$H24*$N24*$AP$11)</f>
        <v>0</v>
      </c>
      <c r="AQ24" s="127">
        <v>0</v>
      </c>
      <c r="AR24" s="127">
        <v>0</v>
      </c>
      <c r="AS24" s="123"/>
      <c r="AT24" s="123">
        <f>(AS24/12*2*$E24*$G24*$H24*$M24*$AT$11)+(AS24/12*10*$F24*$G24*$H24*$M24*$AT$11)</f>
        <v>0</v>
      </c>
      <c r="AU24" s="123"/>
      <c r="AV24" s="126">
        <f>(AU24/12*2*$E24*$G24*$H24*$M24*$AV$11)+(AU24/12*10*$F24*$G24*$H24*$M24*$AV$12)</f>
        <v>0</v>
      </c>
      <c r="AW24" s="123">
        <v>1</v>
      </c>
      <c r="AX24" s="123">
        <f>(AW24/12*2*$E24*$G24*$H24*$M24*$AX$11)+(AW24/12*10*$F24*$G24*$H24*$M24*$AX$12)</f>
        <v>41785.295299999991</v>
      </c>
      <c r="AY24" s="123">
        <v>7</v>
      </c>
      <c r="AZ24" s="123">
        <f>(AY24/12*2*$E24*$G24*$H24*$N24*$AZ$11)+(AY24/12*10*$F24*$G24*$H24*$N24*$AZ$11)</f>
        <v>335852.64636000001</v>
      </c>
      <c r="BA24" s="123"/>
      <c r="BB24" s="123">
        <f>(BA24/12*2*$E24*$G24*$H24*$N24*$BB$11)+(BA24/12*10*$F24*$G24*$H24*$N24*$BB$12)</f>
        <v>0</v>
      </c>
      <c r="BC24" s="123">
        <v>26</v>
      </c>
      <c r="BD24" s="126">
        <f>(BC24/12*2*$E24*$G24*$H24*$N24*$BD$11)+(BC24/12*10*$F24*$G24*$H24*$N24*$BD$12)</f>
        <v>1095943.7215999998</v>
      </c>
      <c r="BE24" s="140">
        <v>1</v>
      </c>
      <c r="BF24" s="123">
        <f>(BE24/12*10*$F24*$G24*$H24*$N24*$BF$12)</f>
        <v>36638.629999999997</v>
      </c>
      <c r="BG24" s="123"/>
      <c r="BH24" s="123">
        <f>(BG24/12*2*$E24*$G24*$H24*$N24*$BH$11)+(BG24/12*10*$F24*$G24*$H24*$N24*$BH$11)</f>
        <v>0</v>
      </c>
      <c r="BI24" s="123">
        <v>16</v>
      </c>
      <c r="BJ24" s="126">
        <f>(BI24/12*2*$E24*$G24*$H24*$N24*$BJ$11)+(BI24/12*10*$F24*$G24*$H24*$N24*$BJ$11)</f>
        <v>837450.7545599998</v>
      </c>
      <c r="BK24" s="123">
        <v>10</v>
      </c>
      <c r="BL24" s="127">
        <f>(BK24/12*2*$E24*$G24*$H24*$N24*$BL$11)+(BK24/12*10*$F24*$G24*$H24*$N24*$BL$11)</f>
        <v>523406.72159999999</v>
      </c>
      <c r="BM24" s="123"/>
      <c r="BN24" s="123">
        <f>(BM24/12*2*$E24*$G24*$H24*$M24*$BN$11)+(BM24/12*10*$F24*$G24*$H24*$M24*$BN$11)</f>
        <v>0</v>
      </c>
      <c r="BO24" s="123"/>
      <c r="BP24" s="123">
        <f>(BO24/12*2*$E24*$G24*$H24*$M24*$BP$11)+(BO24/12*10*$F24*$G24*$H24*$M24*$BP$12)</f>
        <v>0</v>
      </c>
      <c r="BQ24" s="123"/>
      <c r="BR24" s="123">
        <f>(BQ24/12*2*$E24*$G24*$H24*$M24*$BR$11)+(BQ24/12*10*$F24*$G24*$H24*$M24*$BR$11)</f>
        <v>0</v>
      </c>
      <c r="BS24" s="123">
        <v>5</v>
      </c>
      <c r="BT24" s="123">
        <f>(BS24/12*2*$E24*$G24*$H24*$N24*$BT$11)+(BS24/12*10*$F24*$G24*$H24*$N24*$BT$11)</f>
        <v>218086.13399999999</v>
      </c>
      <c r="BU24" s="123"/>
      <c r="BV24" s="126">
        <f>(BU24/12*2*$E24*$G24*$H24*$M24*$BV$11)+(BU24/12*10*$F24*$G24*$H24*$M24*$BV$11)</f>
        <v>0</v>
      </c>
      <c r="BW24" s="123"/>
      <c r="BX24" s="123">
        <f>(BW24/12*2*$E24*$G24*$H24*$M24*$BX$11)+(BW24/12*10*$F24*$G24*$H24*$M24*$BX$11)</f>
        <v>0</v>
      </c>
      <c r="BY24" s="123"/>
      <c r="BZ24" s="123">
        <f>(BY24/12*2*$E24*$G24*$H24*$M24*$BZ$11)+(BY24/12*10*$F24*$G24*$H24*$M24*$BZ$11)</f>
        <v>0</v>
      </c>
      <c r="CA24" s="123"/>
      <c r="CB24" s="123">
        <f>(CA24/12*2*$E24*$G24*$H24*$M24*$CB$11)+(CA24/12*10*$F24*$G24*$H24*$M24*$CB$11)</f>
        <v>0</v>
      </c>
      <c r="CC24" s="123">
        <v>1</v>
      </c>
      <c r="CD24" s="123">
        <f>(CC24/12*2*$E24*$G24*$H24*$M24*$CD$11)+(CC24/12*10*$F24*$G24*$H24*$M24*$CD$11)</f>
        <v>36347.688999999998</v>
      </c>
      <c r="CE24" s="123"/>
      <c r="CF24" s="123">
        <f>(CE24/12*10*$F24*$G24*$H24*$N24*$CF$11)</f>
        <v>0</v>
      </c>
      <c r="CG24" s="132"/>
      <c r="CH24" s="123">
        <f>(CG24/12*2*$E24*$G24*$H24*$N24*$CH$11)+(CG24/12*10*$F24*$G24*$H24*$N24*$CH$11)</f>
        <v>0</v>
      </c>
      <c r="CI24" s="123"/>
      <c r="CJ24" s="127">
        <f>(CI24*$E24*$G24*$H24*$N24*CJ$11)</f>
        <v>0</v>
      </c>
      <c r="CK24" s="123"/>
      <c r="CL24" s="123">
        <f>(CK24/12*2*$E24*$G24*$H24*$N24*$CL$11)+(CK24/12*10*$F24*$G24*$H24*$N24*$CL$12)</f>
        <v>0</v>
      </c>
      <c r="CM24" s="130"/>
      <c r="CN24" s="123">
        <f>(CM24/12*2*$E24*$G24*$H24*$N24*$CN$11)+(CM24/12*10*$F24*$G24*$H24*$N24*$CN$11)</f>
        <v>0</v>
      </c>
      <c r="CO24" s="123"/>
      <c r="CP24" s="123">
        <f>(CO24/12*2*$E24*$G24*$H24*$N24*$CP$11)+(CO24/12*10*$F24*$G24*$H24*$N24*$CP$11)</f>
        <v>0</v>
      </c>
      <c r="CQ24" s="123"/>
      <c r="CR24" s="123">
        <f>(CQ24/12*2*$E24*$G24*$H24*$O24*$CR$11)+(CQ24/12*10*$F24*$G24*$H24*$O24*$CR$11)</f>
        <v>0</v>
      </c>
      <c r="CS24" s="123">
        <v>2</v>
      </c>
      <c r="CT24" s="133">
        <f>(CS24/12*2*$E24*$G24*$H24*$P24*$CT$11)+(CS24/12*10*$F24*$G24*$H24*$P24*$CT$11)</f>
        <v>133447.94389999998</v>
      </c>
      <c r="CU24" s="127"/>
      <c r="CV24" s="127"/>
      <c r="CW24" s="126">
        <f t="shared" si="9"/>
        <v>115</v>
      </c>
      <c r="CX24" s="126">
        <f t="shared" si="9"/>
        <v>5324831.1559499986</v>
      </c>
    </row>
    <row r="25" spans="1:102" ht="30" customHeight="1" x14ac:dyDescent="0.25">
      <c r="A25" s="91"/>
      <c r="B25" s="116">
        <v>10</v>
      </c>
      <c r="C25" s="117" t="s">
        <v>137</v>
      </c>
      <c r="D25" s="118" t="s">
        <v>138</v>
      </c>
      <c r="E25" s="95">
        <v>28004</v>
      </c>
      <c r="F25" s="96">
        <v>29405</v>
      </c>
      <c r="G25" s="119">
        <v>0.46</v>
      </c>
      <c r="H25" s="107">
        <v>1</v>
      </c>
      <c r="I25" s="108"/>
      <c r="J25" s="108"/>
      <c r="K25" s="108"/>
      <c r="L25" s="63"/>
      <c r="M25" s="120">
        <v>1.4</v>
      </c>
      <c r="N25" s="120">
        <v>1.68</v>
      </c>
      <c r="O25" s="120">
        <v>2.23</v>
      </c>
      <c r="P25" s="121">
        <v>2.57</v>
      </c>
      <c r="Q25" s="122">
        <v>180</v>
      </c>
      <c r="R25" s="123">
        <f>(Q25/12*2*$E25*$G25*$H25*$M25*$R$11)+(Q25/12*10*$F25*$G25*$H25*$M25*$R$11)</f>
        <v>3719716.3080000002</v>
      </c>
      <c r="S25" s="124">
        <v>2</v>
      </c>
      <c r="T25" s="125">
        <f>(S25/12*2*$E25*$G25*$H25*$M25*$R$11)+(S25/12*10*$F25*$G25*$H25*$M25*$R$11)</f>
        <v>41330.181199999992</v>
      </c>
      <c r="U25" s="123">
        <v>1</v>
      </c>
      <c r="V25" s="123">
        <f>(U25*$F25*$G25*$H25*$M25*$V$12)</f>
        <v>25185.970600000001</v>
      </c>
      <c r="W25" s="123">
        <v>200</v>
      </c>
      <c r="X25" s="126">
        <f>(W25/12*2*$E25*$G25*$H25*$M25*$X$11)+(W25/12*10*$F25*$G25*$H25*$M25*$X$12)</f>
        <v>5039275.3133333335</v>
      </c>
      <c r="Y25" s="123"/>
      <c r="Z25" s="123">
        <f>(Y25/12*2*$E25*$G25*$H25*$M25*$Z$11)+(Y25/12*10*$F25*$G25*$H25*$M25*$Z$12)</f>
        <v>0</v>
      </c>
      <c r="AA25" s="123"/>
      <c r="AB25" s="123">
        <f>(AA25/12*2*$E25*$G25*$H25*$M25*$AB$11)+(AA25/12*10*$F25*$G25*$H25*$M25*$AB$11)</f>
        <v>0</v>
      </c>
      <c r="AC25" s="123"/>
      <c r="AD25" s="123"/>
      <c r="AE25" s="123">
        <v>1</v>
      </c>
      <c r="AF25" s="127">
        <f>(AE25/12*2*$E25*$G25*$H25*$M25*$AF$11)+(AE25/12*10*$F25*$G25*$H25*$M25*$AF$11)</f>
        <v>20665.090599999996</v>
      </c>
      <c r="AG25" s="123">
        <v>210</v>
      </c>
      <c r="AH25" s="126">
        <f>(AG25/12*2*$E25*$G25*$H25*$M25*$AH$11)+(AG25/12*10*$F25*$G25*$H25*$M25*$AH$11)</f>
        <v>4339669.0260000005</v>
      </c>
      <c r="AI25" s="138">
        <v>133</v>
      </c>
      <c r="AJ25" s="123">
        <f t="shared" si="7"/>
        <v>3227188.2045666673</v>
      </c>
      <c r="AK25" s="123">
        <v>5</v>
      </c>
      <c r="AL25" s="123">
        <f t="shared" si="8"/>
        <v>145587.43780000001</v>
      </c>
      <c r="AM25" s="132"/>
      <c r="AN25" s="123">
        <f>(AM25/12*2*$E25*$G25*$H25*$N25*$AN$11)+(AM25/12*10*$F25*$G25*$H25*$N25*$AN$12)</f>
        <v>0</v>
      </c>
      <c r="AO25" s="130"/>
      <c r="AP25" s="127">
        <f>(AO25/12*2*$E25*$G25*$H25*$N25*$AP$11)+(AO25/12*10*$F25*$G25*$H25*$N25*$AP$11)</f>
        <v>0</v>
      </c>
      <c r="AQ25" s="127">
        <v>0</v>
      </c>
      <c r="AR25" s="127">
        <v>0</v>
      </c>
      <c r="AS25" s="123"/>
      <c r="AT25" s="123">
        <f>(AS25/12*2*$E25*$G25*$H25*$M25*$AT$11)+(AS25/12*10*$F25*$G25*$H25*$M25*$AT$11)</f>
        <v>0</v>
      </c>
      <c r="AU25" s="123"/>
      <c r="AV25" s="126">
        <f>(AU25/12*2*$E25*$G25*$H25*$M25*$AV$11)+(AU25/12*10*$F25*$G25*$H25*$M25*$AV$12)</f>
        <v>0</v>
      </c>
      <c r="AW25" s="123">
        <v>43</v>
      </c>
      <c r="AX25" s="123">
        <f>(AW25/12*2*$E25*$G25*$H25*$M25*$AX$11)+(AW25/12*10*$F25*$G25*$H25*$M25*$AX$12)</f>
        <v>928666.4506000001</v>
      </c>
      <c r="AY25" s="123">
        <v>130</v>
      </c>
      <c r="AZ25" s="123">
        <f>(AY25/12*2*$E25*$G25*$H25*$N25*$AZ$11)+(AY25/12*10*$F25*$G25*$H25*$N25*$AZ$11)</f>
        <v>3223754.1336000008</v>
      </c>
      <c r="BA25" s="123"/>
      <c r="BB25" s="123">
        <f>(BA25/12*2*$E25*$G25*$H25*$N25*$BB$11)+(BA25/12*10*$F25*$G25*$H25*$N25*$BB$12)</f>
        <v>0</v>
      </c>
      <c r="BC25" s="123">
        <v>250</v>
      </c>
      <c r="BD25" s="126">
        <f>(BC25/12*2*$E25*$G25*$H25*$N25*$BD$11)+(BC25/12*10*$F25*$G25*$H25*$N25*$BD$12)</f>
        <v>5446565.5999999996</v>
      </c>
      <c r="BE25" s="140">
        <v>55</v>
      </c>
      <c r="BF25" s="123">
        <f>(BE25/12*10*$F25*$G25*$H25*$N25*$BF$12)</f>
        <v>1041525.0999999999</v>
      </c>
      <c r="BG25" s="123">
        <v>3</v>
      </c>
      <c r="BH25" s="123">
        <f>(BG25/12*2*$E25*$G25*$H25*$N25*$BH$11)+(BG25/12*10*$F25*$G25*$H25*$N25*$BH$11)</f>
        <v>60868.085039999998</v>
      </c>
      <c r="BI25" s="123">
        <v>94</v>
      </c>
      <c r="BJ25" s="126">
        <f>(BI25/12*2*$E25*$G25*$H25*$N25*$BJ$11)+(BI25/12*10*$F25*$G25*$H25*$N25*$BJ$11)</f>
        <v>2542933.3305600001</v>
      </c>
      <c r="BK25" s="123">
        <v>77</v>
      </c>
      <c r="BL25" s="127">
        <f>(BK25/12*2*$E25*$G25*$H25*$N25*$BL$11)+(BK25/12*10*$F25*$G25*$H25*$N25*$BL$11)</f>
        <v>2083041.1324800001</v>
      </c>
      <c r="BM25" s="123"/>
      <c r="BN25" s="123">
        <f>(BM25/12*2*$E25*$G25*$H25*$M25*$BN$11)+(BM25/12*10*$F25*$G25*$H25*$M25*$BN$11)</f>
        <v>0</v>
      </c>
      <c r="BO25" s="123"/>
      <c r="BP25" s="123">
        <f>(BO25/12*2*$E25*$G25*$H25*$M25*$BP$11)+(BO25/12*10*$F25*$G25*$H25*$M25*$BP$12)</f>
        <v>0</v>
      </c>
      <c r="BQ25" s="123"/>
      <c r="BR25" s="123">
        <f>(BQ25/12*2*$E25*$G25*$H25*$M25*$BR$11)+(BQ25/12*10*$F25*$G25*$H25*$M25*$BR$11)</f>
        <v>0</v>
      </c>
      <c r="BS25" s="123">
        <v>38</v>
      </c>
      <c r="BT25" s="123">
        <f>(BS25/12*2*$E25*$G25*$H25*$N25*$BT$11)+(BS25/12*10*$F25*$G25*$H25*$N25*$BT$11)</f>
        <v>856661.93759999995</v>
      </c>
      <c r="BU25" s="123"/>
      <c r="BV25" s="126">
        <f>(BU25/12*2*$E25*$G25*$H25*$M25*$BV$11)+(BU25/12*10*$F25*$G25*$H25*$M25*$BV$11)</f>
        <v>0</v>
      </c>
      <c r="BW25" s="123">
        <v>20</v>
      </c>
      <c r="BX25" s="123">
        <f>(BW25/12*2*$E25*$G25*$H25*$M25*$BX$11)+(BW25/12*10*$F25*$G25*$H25*$M25*$BX$11)</f>
        <v>300583.136</v>
      </c>
      <c r="BY25" s="123">
        <v>25</v>
      </c>
      <c r="BZ25" s="123">
        <f>(BY25/12*2*$E25*$G25*$H25*$M25*$BZ$11)+(BY25/12*10*$F25*$G25*$H25*$M25*$BZ$11)</f>
        <v>469661.15</v>
      </c>
      <c r="CA25" s="123"/>
      <c r="CB25" s="123">
        <f>(CA25/12*2*$E25*$G25*$H25*$M25*$CB$11)+(CA25/12*10*$F25*$G25*$H25*$M25*$CB$11)</f>
        <v>0</v>
      </c>
      <c r="CC25" s="123">
        <v>30</v>
      </c>
      <c r="CD25" s="123">
        <f>(CC25/12*2*$E25*$G25*$H25*$M25*$CD$11)+(CC25/12*10*$F25*$G25*$H25*$M25*$CD$11)</f>
        <v>563593.37999999989</v>
      </c>
      <c r="CE25" s="123">
        <v>90</v>
      </c>
      <c r="CF25" s="123">
        <f>(CE25/12*10*$F25*$G25*$H25*$N25*$CF$11)</f>
        <v>1704313.8</v>
      </c>
      <c r="CG25" s="132"/>
      <c r="CH25" s="123">
        <f>(CG25/12*2*$E25*$G25*$H25*$N25*$CH$11)+(CG25/12*10*$F25*$G25*$H25*$N25*$CH$11)</f>
        <v>0</v>
      </c>
      <c r="CI25" s="123"/>
      <c r="CJ25" s="127">
        <f>(CI25*$E25*$G25*$H25*$N25*CJ$11)</f>
        <v>0</v>
      </c>
      <c r="CK25" s="123"/>
      <c r="CL25" s="123">
        <f>(CK25/12*2*$E25*$G25*$H25*$N25*$CL$11)+(CK25/12*10*$F25*$G25*$H25*$N25*$CL$12)</f>
        <v>0</v>
      </c>
      <c r="CM25" s="130">
        <v>5</v>
      </c>
      <c r="CN25" s="123">
        <f>(CM25/12*2*$E25*$G25*$H25*$N25*$CN$11)+(CM25/12*10*$F25*$G25*$H25*$N25*$CN$11)</f>
        <v>112718.67600000001</v>
      </c>
      <c r="CO25" s="123">
        <v>10</v>
      </c>
      <c r="CP25" s="123">
        <v>11362.09</v>
      </c>
      <c r="CQ25" s="123"/>
      <c r="CR25" s="123">
        <f>(CQ25/12*2*$E25*$G25*$H25*$O25*$CR$11)+(CQ25/12*10*$F25*$G25*$H25*$O25*$CR$11)</f>
        <v>0</v>
      </c>
      <c r="CS25" s="123">
        <v>11</v>
      </c>
      <c r="CT25" s="133">
        <f>(CS25/12*2*$E25*$G25*$H25*$P25*$CT$11)+(CS25/12*10*$F25*$G25*$H25*$P25*$CT$11)</f>
        <v>379352.02029999992</v>
      </c>
      <c r="CU25" s="127"/>
      <c r="CV25" s="127"/>
      <c r="CW25" s="126">
        <f t="shared" si="9"/>
        <v>1613</v>
      </c>
      <c r="CX25" s="126">
        <f t="shared" si="9"/>
        <v>36284217.554280013</v>
      </c>
    </row>
    <row r="26" spans="1:102" ht="30" customHeight="1" x14ac:dyDescent="0.25">
      <c r="A26" s="91"/>
      <c r="B26" s="116">
        <v>11</v>
      </c>
      <c r="C26" s="117" t="s">
        <v>139</v>
      </c>
      <c r="D26" s="118" t="s">
        <v>140</v>
      </c>
      <c r="E26" s="95">
        <v>28004</v>
      </c>
      <c r="F26" s="96">
        <v>29405</v>
      </c>
      <c r="G26" s="120">
        <v>0.39</v>
      </c>
      <c r="H26" s="107">
        <v>1</v>
      </c>
      <c r="I26" s="108"/>
      <c r="J26" s="108"/>
      <c r="K26" s="108"/>
      <c r="L26" s="63"/>
      <c r="M26" s="120">
        <v>1.4</v>
      </c>
      <c r="N26" s="120">
        <v>1.68</v>
      </c>
      <c r="O26" s="120">
        <v>2.23</v>
      </c>
      <c r="P26" s="121">
        <v>2.57</v>
      </c>
      <c r="Q26" s="122">
        <v>230</v>
      </c>
      <c r="R26" s="123">
        <f>(Q26/12*2*$E26*$G26*$H26*$M26*$R$11)+(Q26/12*10*$F26*$G26*$H26*$M26*$R$11)</f>
        <v>4029692.6670000008</v>
      </c>
      <c r="S26" s="124"/>
      <c r="T26" s="125">
        <f>(S26/12*2*$E26*$G26*$H26*$M26*$R$11)+(S26/12*10*$F26*$G26*$H26*$M26*$R$11)</f>
        <v>0</v>
      </c>
      <c r="U26" s="123"/>
      <c r="V26" s="123">
        <f>(U26/12*2*$E26*$G26*$H26*$M26*$V$11)+(U26/12*10*$F26*$G26*$H26*$M26*$V$12)</f>
        <v>0</v>
      </c>
      <c r="W26" s="123">
        <v>15</v>
      </c>
      <c r="X26" s="126">
        <f>(W26/12*2*$E26*$G26*$H26*$M26*$X$11)+(W26/12*10*$F26*$G26*$H26*$M26*$X$12)</f>
        <v>320432.18024999998</v>
      </c>
      <c r="Y26" s="123">
        <f>1+5</f>
        <v>6</v>
      </c>
      <c r="Z26" s="123">
        <f>(Y26/12*2*$E26*$G26*$H26*$M26*$Z$11)+(Y26/12*10*$F26*$G26*$H26*$M26*$Z$12)</f>
        <v>128172.87209999999</v>
      </c>
      <c r="AA26" s="123"/>
      <c r="AB26" s="123">
        <f>(AA26/12*2*$E26*$G26*$H26*$M26*$AB$11)+(AA26/12*10*$F26*$G26*$H26*$M26*$AB$11)</f>
        <v>0</v>
      </c>
      <c r="AC26" s="123"/>
      <c r="AD26" s="123"/>
      <c r="AE26" s="123">
        <v>8</v>
      </c>
      <c r="AF26" s="127">
        <f>(AE26/12*2*$E26*$G26*$H26*$M26*$AF$11)+(AE26/12*10*$F26*$G26*$H26*$M26*$AF$11)</f>
        <v>140163.22320000001</v>
      </c>
      <c r="AG26" s="123">
        <f>550-10</f>
        <v>540</v>
      </c>
      <c r="AH26" s="126">
        <f>(AG26/12*2*$E26*$G26*$H26*$M26*$AH$11)+(AG26/12*10*$F26*$G26*$H26*$M26*$AH$11)</f>
        <v>9461017.5660000015</v>
      </c>
      <c r="AI26" s="138">
        <v>143</v>
      </c>
      <c r="AJ26" s="123">
        <f t="shared" si="7"/>
        <v>2941815.7268500002</v>
      </c>
      <c r="AK26" s="123"/>
      <c r="AL26" s="123">
        <f t="shared" si="8"/>
        <v>0</v>
      </c>
      <c r="AM26" s="132"/>
      <c r="AN26" s="123">
        <f>(AM26/12*2*$E26*$G26*$H26*$N26*$AN$11)+(AM26/12*10*$F26*$G26*$H26*$N26*$AN$12)</f>
        <v>0</v>
      </c>
      <c r="AO26" s="130"/>
      <c r="AP26" s="127">
        <f>(AO26/12*2*$E26*$G26*$H26*$N26*$AP$11)+(AO26/12*10*$F26*$G26*$H26*$N26*$AP$11)</f>
        <v>0</v>
      </c>
      <c r="AQ26" s="127">
        <v>7</v>
      </c>
      <c r="AR26" s="127">
        <v>144310.47</v>
      </c>
      <c r="AS26" s="123"/>
      <c r="AT26" s="123">
        <f>(AS26/12*2*$E26*$G26*$H26*$M26*$AT$11)+(AS26/12*10*$F26*$G26*$H26*$M26*$AT$11)</f>
        <v>0</v>
      </c>
      <c r="AU26" s="123"/>
      <c r="AV26" s="126">
        <f>(AU26/12*2*$E26*$G26*$H26*$M26*$AV$11)+(AU26/12*10*$F26*$G26*$H26*$M26*$AV$12)</f>
        <v>0</v>
      </c>
      <c r="AW26" s="123">
        <v>44</v>
      </c>
      <c r="AX26" s="123">
        <f>(AW26/12*2*$E26*$G26*$H26*$M26*$AX$11)+(AW26/12*10*$F26*$G26*$H26*$M26*$AX$12)</f>
        <v>805658.05319999985</v>
      </c>
      <c r="AY26" s="123">
        <v>55</v>
      </c>
      <c r="AZ26" s="123">
        <f>(AY26/12*2*$E26*$G26*$H26*$N26*$AZ$11)+(AY26/12*10*$F26*$G26*$H26*$N26*$AZ$11)</f>
        <v>1156346.5914</v>
      </c>
      <c r="BA26" s="123"/>
      <c r="BB26" s="123">
        <f>(BA26/12*2*$E26*$G26*$H26*$N26*$BB$11)+(BA26/12*10*$F26*$G26*$H26*$N26*$BB$12)</f>
        <v>0</v>
      </c>
      <c r="BC26" s="123">
        <v>110</v>
      </c>
      <c r="BD26" s="126">
        <f>(BC26/12*2*$E26*$G26*$H26*$N26*$BD$11)+(BC26/12*10*$F26*$G26*$H26*$N26*$BD$12)</f>
        <v>2031805.7759999998</v>
      </c>
      <c r="BE26" s="123">
        <v>40</v>
      </c>
      <c r="BF26" s="123">
        <f>(BE26/12*10*$F26*$G26*$H26*$N26*$BF$12)</f>
        <v>642205.20000000007</v>
      </c>
      <c r="BG26" s="123"/>
      <c r="BH26" s="123">
        <f>(BG26/12*2*$E26*$G26*$H26*$N26*$BH$11)+(BG26/12*10*$F26*$G26*$H26*$N26*$BH$11)</f>
        <v>0</v>
      </c>
      <c r="BI26" s="123">
        <v>7</v>
      </c>
      <c r="BJ26" s="126">
        <f>(BI26/12*2*$E26*$G26*$H26*$N26*$BJ$11)+(BI26/12*10*$F26*$G26*$H26*$N26*$BJ$11)</f>
        <v>160550.60112000001</v>
      </c>
      <c r="BK26" s="123">
        <v>280</v>
      </c>
      <c r="BL26" s="127">
        <f>(BK26/12*2*$E26*$G26*$H26*$N26*$BL$11)+(BK26/12*10*$F26*$G26*$H26*$N26*$BL$11)</f>
        <v>6422024.0447999984</v>
      </c>
      <c r="BM26" s="123"/>
      <c r="BN26" s="123">
        <f>(BM26/12*2*$E26*$G26*$H26*$M26*$BN$11)+(BM26/12*10*$F26*$G26*$H26*$M26*$BN$11)</f>
        <v>0</v>
      </c>
      <c r="BO26" s="123"/>
      <c r="BP26" s="123">
        <f>(BO26/12*2*$E26*$G26*$H26*$M26*$BP$11)+(BO26/12*10*$F26*$G26*$H26*$M26*$BP$12)</f>
        <v>0</v>
      </c>
      <c r="BQ26" s="123">
        <v>2</v>
      </c>
      <c r="BR26" s="123">
        <f>(BQ26*$F26*$G26*$H26*$M26*$BR$11)</f>
        <v>32110.26</v>
      </c>
      <c r="BS26" s="123">
        <v>80</v>
      </c>
      <c r="BT26" s="123">
        <f>(BS26/12*2*$E26*$G26*$H26*$N26*$BT$11)+(BS26/12*10*$F26*$G26*$H26*$N26*$BT$11)</f>
        <v>1529053.344</v>
      </c>
      <c r="BU26" s="123"/>
      <c r="BV26" s="126">
        <f>(BU26/12*2*$E26*$G26*$H26*$M26*$BV$11)+(BU26/12*10*$F26*$G26*$H26*$M26*$BV$11)</f>
        <v>0</v>
      </c>
      <c r="BW26" s="123">
        <v>30</v>
      </c>
      <c r="BX26" s="123">
        <f>(BW26/12*2*$E26*$G26*$H26*$M26*$BX$11)+(BW26/12*10*$F26*$G26*$H26*$M26*$BX$11)</f>
        <v>382263.33600000001</v>
      </c>
      <c r="BY26" s="123">
        <v>60</v>
      </c>
      <c r="BZ26" s="123">
        <f>(BY26/12*2*$E26*$G26*$H26*$M26*$BZ$11)+(BY26/12*10*$F26*$G26*$H26*$M26*$BZ$11)</f>
        <v>955658.34</v>
      </c>
      <c r="CA26" s="123"/>
      <c r="CB26" s="123">
        <f>(CA26/12*2*$E26*$G26*$H26*$M26*$CB$11)+(CA26/12*10*$F26*$G26*$H26*$M26*$CB$11)</f>
        <v>0</v>
      </c>
      <c r="CC26" s="123">
        <v>11</v>
      </c>
      <c r="CD26" s="123">
        <f>(CC26/12*2*$E26*$G26*$H26*$M26*$CD$11)+(CC26/12*10*$F26*$G26*$H26*$M26*$CD$11)</f>
        <v>175204.02899999998</v>
      </c>
      <c r="CE26" s="123">
        <v>8</v>
      </c>
      <c r="CF26" s="123">
        <f>(CE26/12*10*$F26*$G26*$H26*$N26*$CF$11)</f>
        <v>128441.04</v>
      </c>
      <c r="CG26" s="132"/>
      <c r="CH26" s="123">
        <f>(CG26/12*2*$E26*$G26*$H26*$N26*$CH$11)+(CG26/12*10*$F26*$G26*$H26*$N26*$CH$11)</f>
        <v>0</v>
      </c>
      <c r="CI26" s="123"/>
      <c r="CJ26" s="127">
        <f>(CI26*$E26*$G26*$H26*$N26*CJ$11)</f>
        <v>0</v>
      </c>
      <c r="CK26" s="123"/>
      <c r="CL26" s="123">
        <f>(CK26/12*2*$E26*$G26*$H26*$N26*$CL$11)+(CK26/12*10*$F26*$G26*$H26*$N26*$CL$12)</f>
        <v>0</v>
      </c>
      <c r="CM26" s="130">
        <v>20</v>
      </c>
      <c r="CN26" s="123">
        <f>(CM26/12*2*$E26*$G26*$H26*$N26*$CN$11)+(CM26/12*10*$F26*$G26*$H26*$N26*$CN$11)</f>
        <v>382263.33600000001</v>
      </c>
      <c r="CO26" s="123"/>
      <c r="CP26" s="123">
        <f>(CO26/12*2*$E26*$G26*$H26*$N26*$CP$11)+(CO26/12*10*$F26*$G26*$H26*$N26*$CP$11)</f>
        <v>0</v>
      </c>
      <c r="CQ26" s="123"/>
      <c r="CR26" s="123">
        <f>(CQ26/12*2*$E26*$G26*$H26*$O26*$CR$11)+(CQ26/12*10*$F26*$G26*$H26*$O26*$CR$11)</f>
        <v>0</v>
      </c>
      <c r="CS26" s="123">
        <v>3</v>
      </c>
      <c r="CT26" s="133">
        <f>(CS26/12*2*$E26*$G26*$H26*$P26*$CT$11)+(CS26/12*10*$F26*$G26*$H26*$P26*$CT$11)</f>
        <v>87715.783349999998</v>
      </c>
      <c r="CU26" s="127"/>
      <c r="CV26" s="127"/>
      <c r="CW26" s="126">
        <f t="shared" si="9"/>
        <v>1699</v>
      </c>
      <c r="CX26" s="126">
        <f t="shared" si="9"/>
        <v>32056904.440269995</v>
      </c>
    </row>
    <row r="27" spans="1:102" ht="30" customHeight="1" x14ac:dyDescent="0.25">
      <c r="A27" s="91"/>
      <c r="B27" s="116">
        <v>12</v>
      </c>
      <c r="C27" s="117" t="s">
        <v>141</v>
      </c>
      <c r="D27" s="118" t="s">
        <v>142</v>
      </c>
      <c r="E27" s="95">
        <v>28004</v>
      </c>
      <c r="F27" s="96">
        <v>29405</v>
      </c>
      <c r="G27" s="120">
        <v>0.57999999999999996</v>
      </c>
      <c r="H27" s="107">
        <v>1</v>
      </c>
      <c r="I27" s="108"/>
      <c r="J27" s="108"/>
      <c r="K27" s="108"/>
      <c r="L27" s="63"/>
      <c r="M27" s="120">
        <v>1.4</v>
      </c>
      <c r="N27" s="120">
        <v>1.68</v>
      </c>
      <c r="O27" s="120">
        <v>2.23</v>
      </c>
      <c r="P27" s="121">
        <v>2.57</v>
      </c>
      <c r="Q27" s="122">
        <v>200</v>
      </c>
      <c r="R27" s="123">
        <f>(Q27/12*2*$E27*$G27*$H27*$M27*$R$11)+(Q27/12*10*$F27*$G27*$H27*$M27*$R$11)</f>
        <v>5211196.7600000007</v>
      </c>
      <c r="S27" s="124">
        <v>1</v>
      </c>
      <c r="T27" s="125">
        <f>(S27/12*2*$E27*$G27*$H27*$M27*$R$11)+(S27/12*10*$F27*$G27*$H27*$M27*$R$11)</f>
        <v>26055.983799999995</v>
      </c>
      <c r="U27" s="123"/>
      <c r="V27" s="123">
        <f>(U27/12*2*$E27*$G27*$H27*$M27*$V$11)+(U27/12*10*$F27*$G27*$H27*$M27*$V$12)</f>
        <v>0</v>
      </c>
      <c r="W27" s="123">
        <v>250</v>
      </c>
      <c r="X27" s="126">
        <f>(W27/12*2*$E27*$G27*$H27*$M27*$X$11)+(W27/12*10*$F27*$G27*$H27*$M27*$X$12)</f>
        <v>7942336.0916666649</v>
      </c>
      <c r="Y27" s="141">
        <f>1+1</f>
        <v>2</v>
      </c>
      <c r="Z27" s="123">
        <f>(Y27/12*2*$E27*$G27*$H27*$M27*$Z$11)+(Y27/12*10*$F27*$G27*$H27*$M27*$Z$12)</f>
        <v>63538.688733333322</v>
      </c>
      <c r="AA27" s="123"/>
      <c r="AB27" s="123">
        <f>(AA27/12*2*$E27*$G27*$H27*$M27*$AB$11)+(AA27/12*10*$F27*$G27*$H27*$M27*$AB$11)</f>
        <v>0</v>
      </c>
      <c r="AC27" s="123"/>
      <c r="AD27" s="123"/>
      <c r="AE27" s="123">
        <f>26+1+1</f>
        <v>28</v>
      </c>
      <c r="AF27" s="127">
        <f>(AE27/12*2*$E27*$G27*$H27*$M27*$AF$11)+(AE27/12*10*$F27*$G27*$H27*$M27*$AF$11)</f>
        <v>729567.54639999999</v>
      </c>
      <c r="AG27" s="123">
        <f>475-26</f>
        <v>449</v>
      </c>
      <c r="AH27" s="126">
        <f>(AG27/12*2*$E27*$G27*$H27*$M27*$AH$11)+(AG27/12*10*$F27*$G27*$H27*$M27*$AH$11)</f>
        <v>11699136.726199996</v>
      </c>
      <c r="AI27" s="138">
        <v>480</v>
      </c>
      <c r="AJ27" s="123">
        <f t="shared" si="7"/>
        <v>14685341.551999997</v>
      </c>
      <c r="AK27" s="123">
        <v>1</v>
      </c>
      <c r="AL27" s="123">
        <f t="shared" si="8"/>
        <v>36713.353879999988</v>
      </c>
      <c r="AM27" s="129"/>
      <c r="AN27" s="123">
        <f>(AM27/12*2*$E27*$G27*$H27*$N27*$AN$11)+(AM27/12*10*$F27*$G27*$H27*$N27*$AN$12)</f>
        <v>0</v>
      </c>
      <c r="AO27" s="130">
        <v>2</v>
      </c>
      <c r="AP27" s="127">
        <f>(AO27/12*2*$E27*$G27*$H27*$N27*$AP$11)+(AO27/12*10*$F27*$G27*$H27*$N27*$AP$11)</f>
        <v>62534.361119999987</v>
      </c>
      <c r="AQ27" s="127">
        <v>68</v>
      </c>
      <c r="AR27" s="127">
        <v>2122164.1799999983</v>
      </c>
      <c r="AS27" s="123"/>
      <c r="AT27" s="123">
        <f>(AS27/12*2*$E27*$G27*$H27*$M27*$AT$11)+(AS27/12*10*$F27*$G27*$H27*$M27*$AT$11)</f>
        <v>0</v>
      </c>
      <c r="AU27" s="123"/>
      <c r="AV27" s="126">
        <f>(AU27/12*2*$E27*$G27*$H27*$M27*$AV$11)+(AU27/12*10*$F27*$G27*$H27*$M27*$AV$12)</f>
        <v>0</v>
      </c>
      <c r="AW27" s="123">
        <v>99</v>
      </c>
      <c r="AX27" s="123">
        <f>(AW27/12*2*$E27*$G27*$H27*$M27*$AX$11)+(AW27/12*10*$F27*$G27*$H27*$M27*$AX$12)</f>
        <v>2695855.7933999998</v>
      </c>
      <c r="AY27" s="123"/>
      <c r="AZ27" s="123">
        <f>(AY27/12*2*$E27*$G27*$H27*$N27*$AZ$11)+(AY27/12*10*$F27*$G27*$H27*$N27*$AZ$11)</f>
        <v>0</v>
      </c>
      <c r="BA27" s="123"/>
      <c r="BB27" s="123">
        <f>(BA27/12*2*$E27*$G27*$H27*$N27*$BB$11)+(BA27/12*10*$F27*$G27*$H27*$N27*$BB$12)</f>
        <v>0</v>
      </c>
      <c r="BC27" s="123">
        <v>1621</v>
      </c>
      <c r="BD27" s="126">
        <f>(BC27/12*2*$E27*$G27*$H27*$N27*$BD$11)+(BC27/12*10*$F27*$G27*$H27*$N27*$BD$12)</f>
        <v>44528278.659199998</v>
      </c>
      <c r="BE27" s="123">
        <v>40</v>
      </c>
      <c r="BF27" s="123">
        <f>(BE27/12*10*$F27*$G27*$H27*$N27*$BF$12)</f>
        <v>955074.39999999991</v>
      </c>
      <c r="BG27" s="123"/>
      <c r="BH27" s="123">
        <f>(BG27/12*2*$E27*$G27*$H27*$N27*$BH$11)+(BG27/12*10*$F27*$G27*$H27*$N27*$BH$11)</f>
        <v>0</v>
      </c>
      <c r="BI27" s="123">
        <v>10</v>
      </c>
      <c r="BJ27" s="126">
        <f>(BI27/12*2*$E27*$G27*$H27*$N27*$BJ$11)+(BI27/12*10*$F27*$G27*$H27*$N27*$BJ$11)</f>
        <v>341096.51519999997</v>
      </c>
      <c r="BK27" s="123">
        <v>5</v>
      </c>
      <c r="BL27" s="127">
        <f>(BK27/12*2*$E27*$G27*$H27*$N27*$BL$11)+(BK27/12*10*$F27*$G27*$H27*$N27*$BL$11)</f>
        <v>170548.25759999998</v>
      </c>
      <c r="BM27" s="123"/>
      <c r="BN27" s="123">
        <f>(BM27/12*2*$E27*$G27*$H27*$M27*$BN$11)+(BM27/12*10*$F27*$G27*$H27*$M27*$BN$11)</f>
        <v>0</v>
      </c>
      <c r="BO27" s="123"/>
      <c r="BP27" s="123">
        <f>(BO27/12*2*$E27*$G27*$H27*$M27*$BP$11)+(BO27/12*10*$F27*$G27*$H27*$M27*$BP$12)</f>
        <v>0</v>
      </c>
      <c r="BQ27" s="123">
        <v>105</v>
      </c>
      <c r="BR27" s="123">
        <f>(BQ27/12*2*$E27*$G27*$H27*$M27*$BR$11)+(BQ27/12*10*$F27*$G27*$H27*$M27*$BR$11)</f>
        <v>2487162.09</v>
      </c>
      <c r="BS27" s="123">
        <v>20</v>
      </c>
      <c r="BT27" s="123">
        <f>(BS27/12*2*$E27*$G27*$H27*$N27*$BT$11)+(BS27/12*10*$F27*$G27*$H27*$N27*$BT$11)</f>
        <v>568494.19199999992</v>
      </c>
      <c r="BU27" s="123"/>
      <c r="BV27" s="126">
        <f>(BU27/12*2*$E27*$G27*$H27*$M27*$BV$11)+(BU27/12*10*$F27*$G27*$H27*$M27*$BV$11)</f>
        <v>0</v>
      </c>
      <c r="BW27" s="123"/>
      <c r="BX27" s="123">
        <f>(BW27/12*2*$E27*$G27*$H27*$M27*$BX$11)+(BW27/12*10*$F27*$G27*$H27*$M27*$BX$11)</f>
        <v>0</v>
      </c>
      <c r="BY27" s="123"/>
      <c r="BZ27" s="123">
        <f>(BY27/12*2*$E27*$G27*$H27*$M27*$BZ$11)+(BY27/12*10*$F27*$G27*$H27*$M27*$BZ$11)</f>
        <v>0</v>
      </c>
      <c r="CA27" s="123"/>
      <c r="CB27" s="123">
        <f>(CA27/12*2*$E27*$G27*$H27*$M27*$CB$11)+(CA27/12*10*$F27*$G27*$H27*$M27*$CB$11)</f>
        <v>0</v>
      </c>
      <c r="CC27" s="123"/>
      <c r="CD27" s="123">
        <f>(CC27/12*2*$E27*$G27*$H27*$M27*$CD$11)+(CC27/12*10*$F27*$G27*$H27*$M27*$CD$11)</f>
        <v>0</v>
      </c>
      <c r="CE27" s="123"/>
      <c r="CF27" s="123">
        <f>(CE27/12*10*$F27*$G27*$H27*$N27*$CF$11)</f>
        <v>0</v>
      </c>
      <c r="CG27" s="132"/>
      <c r="CH27" s="123">
        <f>(CG27/12*2*$E27*$G27*$H27*$N27*$CH$11)+(CG27/12*10*$F27*$G27*$H27*$N27*$CH$11)</f>
        <v>0</v>
      </c>
      <c r="CI27" s="123"/>
      <c r="CJ27" s="127">
        <f>(CI27*$E27*$G27*$H27*$N27*CJ$11)</f>
        <v>0</v>
      </c>
      <c r="CK27" s="123"/>
      <c r="CL27" s="123">
        <f>(CK27/12*2*$E27*$G27*$H27*$N27*$CL$11)+(CK27/12*10*$F27*$G27*$H27*$N27*$CL$12)</f>
        <v>0</v>
      </c>
      <c r="CM27" s="130"/>
      <c r="CN27" s="123">
        <f>(CM27/12*2*$E27*$G27*$H27*$N27*$CN$11)+(CM27/12*10*$F27*$G27*$H27*$N27*$CN$11)</f>
        <v>0</v>
      </c>
      <c r="CO27" s="123"/>
      <c r="CP27" s="123">
        <f>(CO27/12*2*$E27*$G27*$H27*$N27*$CP$11)+(CO27/12*10*$F27*$G27*$H27*$N27*$CP$11)</f>
        <v>0</v>
      </c>
      <c r="CQ27" s="123"/>
      <c r="CR27" s="123">
        <f>(CQ27/12*2*$E27*$G27*$H27*$O27*$CR$11)+(CQ27/12*10*$F27*$G27*$H27*$O27*$CR$11)</f>
        <v>0</v>
      </c>
      <c r="CS27" s="123">
        <v>2</v>
      </c>
      <c r="CT27" s="133">
        <f>(CS27/12*2*$E27*$G27*$H27*$P27*$CT$11)+(CS27/12*10*$F27*$G27*$H27*$P27*$CT$11)</f>
        <v>86966.075799999991</v>
      </c>
      <c r="CU27" s="127"/>
      <c r="CV27" s="127"/>
      <c r="CW27" s="126">
        <f t="shared" si="9"/>
        <v>3383</v>
      </c>
      <c r="CX27" s="126">
        <f t="shared" si="9"/>
        <v>94412061.226999998</v>
      </c>
    </row>
    <row r="28" spans="1:102" ht="30" customHeight="1" x14ac:dyDescent="0.25">
      <c r="A28" s="91"/>
      <c r="B28" s="116">
        <v>13</v>
      </c>
      <c r="C28" s="117" t="s">
        <v>143</v>
      </c>
      <c r="D28" s="118" t="s">
        <v>144</v>
      </c>
      <c r="E28" s="95">
        <v>28004</v>
      </c>
      <c r="F28" s="96">
        <v>29405</v>
      </c>
      <c r="G28" s="120">
        <v>1.17</v>
      </c>
      <c r="H28" s="107">
        <v>1</v>
      </c>
      <c r="I28" s="108"/>
      <c r="J28" s="108"/>
      <c r="K28" s="108"/>
      <c r="L28" s="63"/>
      <c r="M28" s="120">
        <v>1.4</v>
      </c>
      <c r="N28" s="120">
        <v>1.68</v>
      </c>
      <c r="O28" s="120">
        <v>2.23</v>
      </c>
      <c r="P28" s="121">
        <v>2.57</v>
      </c>
      <c r="Q28" s="122">
        <v>500</v>
      </c>
      <c r="R28" s="123">
        <f>(Q28/12*2*$E28*$G28*$H28*$M28)+(Q28/12*10*$F28*$G28*$H28*$M28)</f>
        <v>23891458.499999996</v>
      </c>
      <c r="S28" s="124">
        <v>2</v>
      </c>
      <c r="T28" s="125">
        <f>(S28/12*2*$E28*$G28*$H28*$M28)+(S28/12*10*$F28*$G28*$H28*$M28)</f>
        <v>95565.833999999973</v>
      </c>
      <c r="U28" s="123"/>
      <c r="V28" s="123">
        <f>(U28/12*2*$E28*$G28*$H28*$M28)+(U28/12*10*$F28*$G28*$H28*$M28)</f>
        <v>0</v>
      </c>
      <c r="W28" s="123">
        <v>620</v>
      </c>
      <c r="X28" s="123">
        <f>(W28/12*2*$E28*$G28*$H28*$M28)+(W28/12*10*$F28*$G28*$H28*$M28)</f>
        <v>29625408.539999992</v>
      </c>
      <c r="Y28" s="123">
        <v>9</v>
      </c>
      <c r="Z28" s="123">
        <f>(Y28/12*2*$E28*$G28*$H28*$M28)+(Y28/12*10*$F28*$G28*$H28*$M28)</f>
        <v>430046.25299999991</v>
      </c>
      <c r="AA28" s="123"/>
      <c r="AB28" s="123">
        <f>(AA28/12*2*$E28*$G28*$H28*$M28)+(AA28/12*10*$F28*$G28*$H28*$M28)</f>
        <v>0</v>
      </c>
      <c r="AC28" s="123"/>
      <c r="AD28" s="123"/>
      <c r="AE28" s="123">
        <v>50</v>
      </c>
      <c r="AF28" s="127">
        <f>(AE28/12*2*$E28*$G28*$H28*$M28)+(AE28/12*10*$F28*$G28*$H28*$M28)</f>
        <v>2389145.8499999996</v>
      </c>
      <c r="AG28" s="123">
        <f>400-20</f>
        <v>380</v>
      </c>
      <c r="AH28" s="123">
        <f>(AG28/12*2*$E28*$G28*$H28*$M28)+(AG28/12*10*$F28*$G28*$H28*$M28)</f>
        <v>18157508.459999997</v>
      </c>
      <c r="AI28" s="138">
        <v>403</v>
      </c>
      <c r="AJ28" s="123">
        <f>(AI28/12*2*$E28*$G28*$H28*$M28)+(AI28/12*10*$F28*$G28*$H28*$M28)</f>
        <v>19256515.550999999</v>
      </c>
      <c r="AK28" s="123">
        <v>2</v>
      </c>
      <c r="AL28" s="126">
        <f>(AK28/12*2*$E28*$G28*$H28*$N28)+(AK28/12*10*$F28*$G28*$H28*$N28)</f>
        <v>114679.00079999998</v>
      </c>
      <c r="AM28" s="132"/>
      <c r="AN28" s="123">
        <f>(AM28/12*2*$E28*$G28*$H28*$N28)+(AM28/12*10*$F28*$G28*$H28*$N28)</f>
        <v>0</v>
      </c>
      <c r="AO28" s="130">
        <v>7</v>
      </c>
      <c r="AP28" s="123">
        <f>(AO28/12*2*$E28*$G28*$H28*$N28)+(AO28/12*10*$F28*$G28*$H28*$N28)</f>
        <v>401376.50279999996</v>
      </c>
      <c r="AQ28" s="123">
        <v>3</v>
      </c>
      <c r="AR28" s="123">
        <v>170641.6</v>
      </c>
      <c r="AS28" s="123"/>
      <c r="AT28" s="123"/>
      <c r="AU28" s="123"/>
      <c r="AV28" s="123"/>
      <c r="AW28" s="123">
        <v>25</v>
      </c>
      <c r="AX28" s="123">
        <f>(AW28/12*2*$E28*$G28*$H28*$M28)+(AW28/12*10*$F28*$G28*$H28*$M28)</f>
        <v>1194572.9249999998</v>
      </c>
      <c r="AY28" s="123">
        <v>30</v>
      </c>
      <c r="AZ28" s="123">
        <f>(AY28/12*2*$E28*$G28*$H28*$N28)+(AY28/12*10*$F28*$G28*$H28*$N28)</f>
        <v>1720185.0119999999</v>
      </c>
      <c r="BA28" s="123"/>
      <c r="BB28" s="123">
        <f>(BA28/12*2*$E28*$G28*$H28*$N28)+(BA28/12*10*$F28*$G28*$H28*$N28)</f>
        <v>0</v>
      </c>
      <c r="BC28" s="123">
        <v>448</v>
      </c>
      <c r="BD28" s="123">
        <f>(BC28/12*2*$E28*$G28*$H28*$N28)+(BC28/12*10*$F28*$G28*$H28*$N28)</f>
        <v>25688096.179199997</v>
      </c>
      <c r="BE28" s="123">
        <v>25</v>
      </c>
      <c r="BF28" s="123">
        <f>(BE28/12*10*$F28*$G28*$H28*$N28)</f>
        <v>1204134.75</v>
      </c>
      <c r="BG28" s="123"/>
      <c r="BH28" s="123">
        <f>(BG28/12*2*$E28*$G28*$H28*$N28)+(BG28/12*10*$F28*$G28*$H28*$N28)</f>
        <v>0</v>
      </c>
      <c r="BI28" s="123">
        <v>27</v>
      </c>
      <c r="BJ28" s="123">
        <f>(BI28/12*2*$E28*$G28*$H28*$N28)+(BI28/12*10*$F28*$G28*$H28*$N28)</f>
        <v>1548166.5108</v>
      </c>
      <c r="BK28" s="123">
        <v>53</v>
      </c>
      <c r="BL28" s="123">
        <f>(BK28/12*2*$E28*$G28*$H28*$N28)+(BK28/12*10*$F28*$G28*$H28*$N28)</f>
        <v>3038993.5211999998</v>
      </c>
      <c r="BM28" s="123"/>
      <c r="BN28" s="123">
        <f>(BM28/12*2*$E28*$G28*$H28*$M28)+(BM28/12*10*$F28*$G28*$H28*$M28)</f>
        <v>0</v>
      </c>
      <c r="BO28" s="123"/>
      <c r="BP28" s="123">
        <f>(BO28/12*2*$E28*$G28*$H28*$M28)+(BO28/12*10*$F28*$G28*$H28*$M28)</f>
        <v>0</v>
      </c>
      <c r="BQ28" s="123">
        <v>80</v>
      </c>
      <c r="BR28" s="123">
        <f>(BQ28/12*2*$E28*$G28*$H28*$M28)+(BQ28/12*10*$F28*$G28*$H28*$M28)</f>
        <v>3822633.36</v>
      </c>
      <c r="BS28" s="123">
        <v>20</v>
      </c>
      <c r="BT28" s="123">
        <f>(BS28/12*2*$E28*$G28*$H28*$N28)+(BS28/12*10*$F28*$G28*$H28*$N28)</f>
        <v>1146790.0079999999</v>
      </c>
      <c r="BU28" s="123"/>
      <c r="BV28" s="123">
        <f>(BU28/12*2*$E28*$G28*$H28*$M28)+(BU28/12*10*$F28*$G28*$H28*$M28)</f>
        <v>0</v>
      </c>
      <c r="BW28" s="123"/>
      <c r="BX28" s="123">
        <f>(BW28/12*2*$E28*$G28*$H28*$M28)+(BW28/12*10*$F28*$G28*$H28*$M28)</f>
        <v>0</v>
      </c>
      <c r="BY28" s="123"/>
      <c r="BZ28" s="123">
        <f>(BY28/12*2*$E28*$G28*$H28*$M28)+(BY28/12*10*$F28*$G28*$H28*$M28)</f>
        <v>0</v>
      </c>
      <c r="CA28" s="123"/>
      <c r="CB28" s="123">
        <f>(CA28/12*2*$E28*$G28*$H28*$M28)+(CA28/12*10*$F28*$G28*$H28*$M28)</f>
        <v>0</v>
      </c>
      <c r="CC28" s="123">
        <v>5</v>
      </c>
      <c r="CD28" s="123">
        <f>(CC28/12*2*$E28*$G28*$H28*$M28)+(CC28/12*10*$F28*$G28*$H28*$M28)</f>
        <v>238914.58499999999</v>
      </c>
      <c r="CE28" s="123">
        <v>7</v>
      </c>
      <c r="CF28" s="123">
        <f>(CE28/12*10*$F28*$G28*$H28*$N28)</f>
        <v>337157.73</v>
      </c>
      <c r="CG28" s="132"/>
      <c r="CH28" s="123">
        <f>(CG28/12*2*$E28*$G28*$H28*$N28)+(CG28/12*10*$F28*$G28*$H28*$N28)</f>
        <v>0</v>
      </c>
      <c r="CI28" s="123"/>
      <c r="CJ28" s="127">
        <f>(CI28*$E28*$G28*$H28*$N28)</f>
        <v>0</v>
      </c>
      <c r="CK28" s="123"/>
      <c r="CL28" s="123">
        <f>(CK28/12*2*$E28*$G28*$H28*$N28)+(CK28/12*10*$F28*$G28*$H28*$N28)</f>
        <v>0</v>
      </c>
      <c r="CM28" s="130">
        <v>1</v>
      </c>
      <c r="CN28" s="123">
        <f>(CM28/12*2*$E28*$G28*$H28*$N28)+(CM28/12*10*$F28*$G28*$H28*$N28)</f>
        <v>57339.50039999999</v>
      </c>
      <c r="CO28" s="123"/>
      <c r="CP28" s="123">
        <f>(CO28/12*2*$E28*$G28*$H28*$N28)+(CO28/12*10*$F28*$G28*$H28*$N28)</f>
        <v>0</v>
      </c>
      <c r="CQ28" s="123"/>
      <c r="CR28" s="123">
        <f>(CQ28/12*2*$E28*$G28*$H28*$O28)+(CQ28/12*10*$F28*$G28*$H28*$O28)</f>
        <v>0</v>
      </c>
      <c r="CS28" s="123">
        <v>1</v>
      </c>
      <c r="CT28" s="127">
        <f>(CS28/12*2*$E28*$G28*$H28*$P28)+(CS28/12*10*$F28*$G28*$H28*$P28)</f>
        <v>87715.783349999983</v>
      </c>
      <c r="CU28" s="127"/>
      <c r="CV28" s="127"/>
      <c r="CW28" s="126">
        <f>SUM(Q28,S28,U28,W28,Y28,AA28,AC28,AE28,AG28,AM28,BQ28,AI28,AU28,CC28,AW28,AY28,AK28,BC28,AO28,AQ28,BE28,CE28,BG28,BI28,BK28,BS28,BM28,BO28,BU28,BW28,BY28,CA28,CG28,BA28,AS28,CI28,CK28,CM28,CO28,CQ28,CS28,CU28)</f>
        <v>2698</v>
      </c>
      <c r="CX28" s="126">
        <f>SUM(R28,T28,V28,X28,Z28,AB28,AD28,AF28,AH28,AN28,BR28,AJ28,AV28,CD28,AX28,AZ28,AL28,BD28,AP28,AR28,BF28,CF28,BH28,BJ28,BL28,BT28,BN28,BP28,BV28,BX28,BZ28,CB28,CH28,BB28,AT28,CJ28,CL28,CN28,CP28,CR28,CT28,CV28)</f>
        <v>134617045.95654994</v>
      </c>
    </row>
    <row r="29" spans="1:102" ht="30" customHeight="1" x14ac:dyDescent="0.25">
      <c r="A29" s="91"/>
      <c r="B29" s="116">
        <v>14</v>
      </c>
      <c r="C29" s="117" t="s">
        <v>145</v>
      </c>
      <c r="D29" s="118" t="s">
        <v>146</v>
      </c>
      <c r="E29" s="95">
        <v>28004</v>
      </c>
      <c r="F29" s="96">
        <v>29405</v>
      </c>
      <c r="G29" s="120">
        <v>2.2000000000000002</v>
      </c>
      <c r="H29" s="107">
        <v>1</v>
      </c>
      <c r="I29" s="108"/>
      <c r="J29" s="108"/>
      <c r="K29" s="108"/>
      <c r="L29" s="63"/>
      <c r="M29" s="120">
        <v>1.4</v>
      </c>
      <c r="N29" s="120">
        <v>1.68</v>
      </c>
      <c r="O29" s="120">
        <v>2.23</v>
      </c>
      <c r="P29" s="121">
        <v>2.57</v>
      </c>
      <c r="Q29" s="122">
        <v>205</v>
      </c>
      <c r="R29" s="123">
        <f>(Q29/12*2*$E29*$G29*$H29*$M29*$R$11)+(Q29/12*10*$F29*$G29*$H29*$M29*$R$11)</f>
        <v>20260773.609999999</v>
      </c>
      <c r="S29" s="124"/>
      <c r="T29" s="125">
        <f>(S29/12*2*$E29*$G29*$H29*$M29*$R$11)+(S29/12*10*$F29*$G29*$H29*$M29*$R$11)</f>
        <v>0</v>
      </c>
      <c r="U29" s="123">
        <v>1</v>
      </c>
      <c r="V29" s="123">
        <f>(U29*$F29*$G29*$H29*$M29*$V$12)</f>
        <v>120454.64200000002</v>
      </c>
      <c r="W29" s="123">
        <v>350</v>
      </c>
      <c r="X29" s="126">
        <f>(W29/12*2*$E29*$G29*$H29*$M29*$X$11)+(W29/12*10*$F29*$G29*$H29*$M29*$X$12)</f>
        <v>42176543.38333334</v>
      </c>
      <c r="Y29" s="123">
        <f>5-5</f>
        <v>0</v>
      </c>
      <c r="Z29" s="123">
        <f>(Y29/12*2*$E29*$G29*$H29*$M29*$Z$11)+(Y29/12*10*$F29*$G29*$H29*$M29*$Z$12)</f>
        <v>0</v>
      </c>
      <c r="AA29" s="123"/>
      <c r="AB29" s="123">
        <f>(AA29/12*2*$E29*$G29*$H29*$M29*$AB$11)+(AA29/12*10*$F29*$G29*$H29*$M29*$AB$11)</f>
        <v>0</v>
      </c>
      <c r="AC29" s="123"/>
      <c r="AD29" s="123"/>
      <c r="AE29" s="123">
        <v>15</v>
      </c>
      <c r="AF29" s="127">
        <f>(AE29/12*2*$E29*$G29*$H29*$M29*$AF$11)+(AE29/12*10*$F29*$G29*$H29*$M29*$AF$11)</f>
        <v>1482495.63</v>
      </c>
      <c r="AG29" s="123">
        <f>62-28</f>
        <v>34</v>
      </c>
      <c r="AH29" s="126">
        <f>(AG29/12*2*$E29*$G29*$H29*$M29*$AH$11)+(AG29/12*10*$F29*$G29*$H29*$M29*$AH$11)</f>
        <v>3360323.4280000008</v>
      </c>
      <c r="AI29" s="138">
        <v>8</v>
      </c>
      <c r="AJ29" s="123">
        <f>(AI29/12*2*$E29*$G29*$H29*$M29*$AJ$11)+(AI29/12*5*$F29*$G29*$H29*$M29*$AJ$12)+(AI29/12*5*$F29*$G29*$H29*$M29*$AJ$13)</f>
        <v>928383.66133333347</v>
      </c>
      <c r="AK29" s="123"/>
      <c r="AL29" s="123">
        <f>(AK29/12*2*$E29*$G29*$H29*$N29*$AL$11)+(AK29/12*5*$F29*$G29*$H29*$N29*$AL$12)++(AK29/12*5*$F29*$G29*$H29*$N29*$AL$13)</f>
        <v>0</v>
      </c>
      <c r="AM29" s="129"/>
      <c r="AN29" s="123">
        <f>(AM29/12*2*$E29*$G29*$H29*$N29*$AN$11)+(AM29/12*10*$F29*$G29*$H29*$N29*$AN$12)</f>
        <v>0</v>
      </c>
      <c r="AO29" s="130">
        <v>3</v>
      </c>
      <c r="AP29" s="127">
        <f>(AO29/12*2*$E29*$G29*$H29*$N29*$AP$11)+(AO29/12*10*$F29*$G29*$H29*$N29*$AP$11)</f>
        <v>355798.95120000007</v>
      </c>
      <c r="AQ29" s="127">
        <v>2</v>
      </c>
      <c r="AR29" s="127">
        <v>233402.03</v>
      </c>
      <c r="AS29" s="123"/>
      <c r="AT29" s="123">
        <f>(AS29/12*2*$E29*$G29*$H29*$M29*$AT$11)+(AS29/12*10*$F29*$G29*$H29*$M29*$AT$11)</f>
        <v>0</v>
      </c>
      <c r="AU29" s="123"/>
      <c r="AV29" s="126">
        <f>(AU29/12*2*$E29*$G29*$H29*$M29*$AV$11)+(AU29/12*10*$F29*$G29*$H29*$M29*$AV$12)</f>
        <v>0</v>
      </c>
      <c r="AW29" s="123">
        <v>7</v>
      </c>
      <c r="AX29" s="123">
        <f>(AW29/12*2*$E29*$G29*$H29*$M29*$AX$11)+(AW29/12*10*$F29*$G29*$H29*$M29*$AX$12)</f>
        <v>723026.45799999998</v>
      </c>
      <c r="AY29" s="123">
        <v>2</v>
      </c>
      <c r="AZ29" s="123">
        <f>(AY29/12*2*$E29*$G29*$H29*$N29*$AZ$11)+(AY29/12*10*$F29*$G29*$H29*$N29*$AZ$11)</f>
        <v>237199.3008</v>
      </c>
      <c r="BA29" s="123"/>
      <c r="BB29" s="123">
        <f>(BA29/12*2*$E29*$G29*$H29*$N29*$BB$11)+(BA29/12*10*$F29*$G29*$H29*$N29*$BB$12)</f>
        <v>0</v>
      </c>
      <c r="BC29" s="123">
        <v>30</v>
      </c>
      <c r="BD29" s="126">
        <f>(BC29/12*2*$E29*$G29*$H29*$N29*$BD$11)+(BC29/12*10*$F29*$G29*$H29*$N29*$BD$12)</f>
        <v>3125855.0400000005</v>
      </c>
      <c r="BE29" s="123">
        <v>5</v>
      </c>
      <c r="BF29" s="123">
        <f>(BE29/12*10*$F29*$G29*$H29*$N29*$BF$12)</f>
        <v>452837.00000000006</v>
      </c>
      <c r="BG29" s="123"/>
      <c r="BH29" s="123">
        <f>(BG29/12*2*$E29*$G29*$H29*$N29*$BH$11)+(BG29/12*10*$F29*$G29*$H29*$N29*$BH$11)</f>
        <v>0</v>
      </c>
      <c r="BI29" s="123">
        <v>4</v>
      </c>
      <c r="BJ29" s="126">
        <f>(BI29/12*2*$E29*$G29*$H29*$N29*$BJ$11)+(BI29/12*10*$F29*$G29*$H29*$N29*$BJ$11)</f>
        <v>517525.74719999998</v>
      </c>
      <c r="BK29" s="123">
        <v>10</v>
      </c>
      <c r="BL29" s="127">
        <f>(BK29/12*2*$E29*$G29*$H29*$N29*$BL$11)+(BK29/12*10*$F29*$G29*$H29*$N29*$BL$11)</f>
        <v>1293814.368</v>
      </c>
      <c r="BM29" s="123"/>
      <c r="BN29" s="123">
        <f>(BM29/12*2*$E29*$G29*$H29*$M29*$BN$11)+(BM29/12*10*$F29*$G29*$H29*$M29*$BN$11)</f>
        <v>0</v>
      </c>
      <c r="BO29" s="123"/>
      <c r="BP29" s="123">
        <f>(BO29/12*2*$E29*$G29*$H29*$M29*$BP$11)+(BO29/12*10*$F29*$G29*$H29*$M29*$BP$12)</f>
        <v>0</v>
      </c>
      <c r="BQ29" s="123">
        <v>8</v>
      </c>
      <c r="BR29" s="123">
        <f>(BQ29/12*2*$E29*$G29*$H29*$M29*$BR$11)+(BQ29/12*10*$F29*$G29*$H29*$M29*$BR$11)</f>
        <v>718785.76</v>
      </c>
      <c r="BS29" s="123"/>
      <c r="BT29" s="123">
        <f>(BS29/12*2*$E29*$G29*$H29*$N29*$BT$11)+(BS29/12*10*$F29*$G29*$H29*$N29*$BT$11)</f>
        <v>0</v>
      </c>
      <c r="BU29" s="123"/>
      <c r="BV29" s="126">
        <f>(BU29/12*2*$E29*$G29*$H29*$M29*$BV$11)+(BU29/12*10*$F29*$G29*$H29*$M29*$BV$11)</f>
        <v>0</v>
      </c>
      <c r="BW29" s="123"/>
      <c r="BX29" s="123">
        <f>(BW29/12*2*$E29*$G29*$H29*$M29*$BX$11)+(BW29/12*10*$F29*$G29*$H29*$M29*$BX$11)</f>
        <v>0</v>
      </c>
      <c r="BY29" s="123"/>
      <c r="BZ29" s="123">
        <f>(BY29/12*2*$E29*$G29*$H29*$M29*$BZ$11)+(BY29/12*10*$F29*$G29*$H29*$M29*$BZ$11)</f>
        <v>0</v>
      </c>
      <c r="CA29" s="123"/>
      <c r="CB29" s="123">
        <f>(CA29/12*2*$E29*$G29*$H29*$M29*$CB$11)+(CA29/12*10*$F29*$G29*$H29*$M29*$CB$11)</f>
        <v>0</v>
      </c>
      <c r="CC29" s="123"/>
      <c r="CD29" s="123">
        <f>(CC29/12*2*$E29*$G29*$H29*$M29*$CD$11)+(CC29/12*10*$F29*$G29*$H29*$M29*$CD$11)</f>
        <v>0</v>
      </c>
      <c r="CE29" s="123"/>
      <c r="CF29" s="123">
        <f>(CE29/12*10*$F29*$G29*$H29*$N29*$CF$11)</f>
        <v>0</v>
      </c>
      <c r="CG29" s="132"/>
      <c r="CH29" s="123">
        <f>(CG29/12*2*$E29*$G29*$H29*$N29*$CH$11)+(CG29/12*10*$F29*$G29*$H29*$N29*$CH$11)</f>
        <v>0</v>
      </c>
      <c r="CI29" s="123"/>
      <c r="CJ29" s="127">
        <f>(CI29*$E29*$G29*$H29*$N29*CJ$11)</f>
        <v>0</v>
      </c>
      <c r="CK29" s="123"/>
      <c r="CL29" s="123">
        <f>(CK29/12*2*$E29*$G29*$H29*$N29*$CL$11)+(CK29/12*10*$F29*$G29*$H29*$N29*$CL$12)</f>
        <v>0</v>
      </c>
      <c r="CM29" s="130"/>
      <c r="CN29" s="123">
        <f>(CM29/12*2*$E29*$G29*$H29*$N29*$CN$11)+(CM29/12*10*$F29*$G29*$H29*$N29*$CN$11)</f>
        <v>0</v>
      </c>
      <c r="CO29" s="123"/>
      <c r="CP29" s="123">
        <f>(CO29/12*2*$E29*$G29*$H29*$N29*$CP$11)+(CO29/12*10*$F29*$G29*$H29*$N29*$CP$11)</f>
        <v>0</v>
      </c>
      <c r="CQ29" s="123"/>
      <c r="CR29" s="123">
        <f>(CQ29/12*2*$E29*$G29*$H29*$O29*$CR$11)+(CQ29/12*10*$F29*$G29*$H29*$O29*$CR$11)</f>
        <v>0</v>
      </c>
      <c r="CS29" s="123"/>
      <c r="CT29" s="133">
        <f>(CS29/12*2*$E29*$G29*$H29*$P29*$CT$11)+(CS29/12*10*$F29*$G29*$H29*$P29*$CT$11)</f>
        <v>0</v>
      </c>
      <c r="CU29" s="127"/>
      <c r="CV29" s="127"/>
      <c r="CW29" s="126">
        <f t="shared" ref="CW29:CX33" si="10">SUM(Q29,S29,U29,W29,Y29,AA29,AC29,AE29,AG29,AM29,BQ29,AI29,AU29,CC29,AW29,AY29,AK29,BC29,AO29,AQ29,BE29,CE29,BG29,BI29,BK29,BS29,BM29,BO29,BU29,BW29,BY29,CA29,CG29,BA29,AS29,CI29,CK29,CM29,CO29,CQ29,CS29,CU29)</f>
        <v>684</v>
      </c>
      <c r="CX29" s="126">
        <f t="shared" si="10"/>
        <v>75987219.009866685</v>
      </c>
    </row>
    <row r="30" spans="1:102" ht="30" customHeight="1" x14ac:dyDescent="0.25">
      <c r="A30" s="91"/>
      <c r="B30" s="116">
        <v>15</v>
      </c>
      <c r="C30" s="201" t="s">
        <v>147</v>
      </c>
      <c r="D30" s="118" t="s">
        <v>148</v>
      </c>
      <c r="E30" s="95">
        <v>28004</v>
      </c>
      <c r="F30" s="96">
        <v>29405</v>
      </c>
      <c r="G30" s="120">
        <v>3.85</v>
      </c>
      <c r="H30" s="107">
        <v>1</v>
      </c>
      <c r="I30" s="108"/>
      <c r="J30" s="108"/>
      <c r="K30" s="108"/>
      <c r="L30" s="142">
        <v>0.30449999999999999</v>
      </c>
      <c r="M30" s="120">
        <v>1.4</v>
      </c>
      <c r="N30" s="120">
        <v>1.68</v>
      </c>
      <c r="O30" s="120">
        <v>2.23</v>
      </c>
      <c r="P30" s="121">
        <v>2.57</v>
      </c>
      <c r="Q30" s="122">
        <v>4</v>
      </c>
      <c r="R30" s="143">
        <f>(Q30/12*2*$E30*$G30*((1-$L30)+$L30*$M30*$R$11*$H30))+(Q30/12*10*$F30*$G30*((1-$L30)+$L30*$M30*$R$11*$H30))</f>
        <v>523109.81407299999</v>
      </c>
      <c r="S30" s="124"/>
      <c r="T30" s="144">
        <f>(S30/12*2*$E30*$G30*((1-$L30)+$L30*$M30*$R$11*$H30))+(S30/12*10*$F30*$G30*((1-$L30)+$L30*$M30*$R$11*$H30))</f>
        <v>0</v>
      </c>
      <c r="U30" s="123"/>
      <c r="V30" s="143">
        <f>(U30/12*2*$E30*$G30*((1-$L30)+$L30*$M30*V$11*$H30))+(U30/12*10*$F30*$G30*((1-$L30)+$L30*$M30*V$12*$H30))</f>
        <v>0</v>
      </c>
      <c r="W30" s="123">
        <v>10</v>
      </c>
      <c r="X30" s="143">
        <f>(W30/12*2*$E30*$G30*((1-$L30)+$L30*$M30*$X$11*$H30))+(W30/12*10*$F30*$G30*((1-$L30)+$L30*$M30*$X$12*$H30))</f>
        <v>1423255.8356362502</v>
      </c>
      <c r="Y30" s="123"/>
      <c r="Z30" s="143">
        <f>(Y30/12*2*$E30*$G30*((1-$L30)+$L30*$M30*$Z$11*$H30))+(Y30/12*10*$F30*$G30*((1-$L30)+$L30*$M30*$Z$12*$H30))</f>
        <v>0</v>
      </c>
      <c r="AA30" s="123"/>
      <c r="AB30" s="143">
        <f>(AA30/12*2*$E30*$G30*((1-$L30)+$L30*$M30*$AB$11*$H30))+(AA30/12*10*$F30*$G30*((1-$L30)+$L30*$M30*$AB$11*$H30))</f>
        <v>0</v>
      </c>
      <c r="AC30" s="123"/>
      <c r="AD30" s="123"/>
      <c r="AE30" s="123"/>
      <c r="AF30" s="143">
        <f>(AE30/12*2*$E30*$G30*((1-$L30)+$L30*$M30*AF$11*$H30))+(AE30/12*10*$F30*$G30*((1-$L30)+$L30*$M30*AF$11*$H30))</f>
        <v>0</v>
      </c>
      <c r="AG30" s="135">
        <v>0</v>
      </c>
      <c r="AH30" s="145">
        <f>(AG30/12*2*$E30*$G30*((1-$L30)+$L30*$H30*AH$11*$M30))+(AG30/12*10*$F30*$G30*((1-$L30)+$L30*$H30*AH$11*$M30))</f>
        <v>0</v>
      </c>
      <c r="AI30" s="137"/>
      <c r="AJ30" s="143">
        <f>(AI30/12*2*$E30*$G30*((1-$L30)+$L30*$H30*AJ$11*$M30))+(AI30/12*5*$F30*$G30*((1-$L30)+$L30*$H30*AJ$12*$M30))+(AI30/12*5*$F30*$G30*((1-$L30)+$L30*$H30*AJ$13*$M30))</f>
        <v>0</v>
      </c>
      <c r="AK30" s="123"/>
      <c r="AL30" s="143">
        <f>(AK30/12*2*$E30*$G30*((1-$L30)+$L30*$H30*AL$11*$N30))+(AK30/12*4*$F30*$G30*((1-$L30)+$L30*$H30*AL$12*$N30))+(AK30/12*6*$F30*$G30*((1-$L30)+$L30*$H30*AL$13*$N30))</f>
        <v>0</v>
      </c>
      <c r="AM30" s="129"/>
      <c r="AN30" s="143">
        <f>(AM30/12*2*$E30*$G30*((1-$L30)+$L30*$N30*$AN$11*H30))+(AM30/12*10*$F30*$G30*((1-$L30)+$L30*$N30*$AN$12*H30))</f>
        <v>0</v>
      </c>
      <c r="AO30" s="130"/>
      <c r="AP30" s="143">
        <f>(AO30/12*2*$E30*$G30*((1-$L30)+$L30*$H30*AP$11*$N30))+(AO30/12*10*$F30*$G30*((1-$L30)+$L30*$H30*AP$11*$N30))</f>
        <v>0</v>
      </c>
      <c r="AQ30" s="143">
        <v>0</v>
      </c>
      <c r="AR30" s="143">
        <v>0</v>
      </c>
      <c r="AS30" s="123"/>
      <c r="AT30" s="123"/>
      <c r="AU30" s="123"/>
      <c r="AV30" s="123"/>
      <c r="AW30" s="123"/>
      <c r="AX30" s="143">
        <f>(AW30/12*2*$E30*$G30*((1-$L30)+$L30*$H30*AX$11*$M30))+(AW30/12*10*$F30*$G30*((1-$L30)+$L30*$H30*AX$12*$M30))</f>
        <v>0</v>
      </c>
      <c r="AY30" s="123"/>
      <c r="AZ30" s="143">
        <f>(AY30/12*2*$E30*$G30*((1-$L30)+$L30*$N30*$H30*$AZ$11))+(AY30/12*10*$F30*$G30*((1-$L30)+$L30*$N30*$H30*$AZ$11))</f>
        <v>0</v>
      </c>
      <c r="BA30" s="123"/>
      <c r="BB30" s="143">
        <f>(BA30/12*2*$E30*$G30*((1-$L30)+$L30*$H30*BB$11*$N30))+(BA30/12*10*$F30*$G30*((1-$L30)+$L30*$H30*BB$12*$N30))</f>
        <v>0</v>
      </c>
      <c r="BC30" s="123"/>
      <c r="BD30" s="146">
        <f>(BC30/12*2*$E30*$G30*$H30*$N30*$BD$11)+(BC30/12*10*$F30*$G30*$H30*$N30*$BD$12)</f>
        <v>0</v>
      </c>
      <c r="BE30" s="123"/>
      <c r="BF30" s="143">
        <f>(BE30/12*2*$E30*$G30*((1-$L30)+$L30*$H30*BF$11*$N30))+(BE30/12*10*$F30*$G30*((1-$L30)+$L30*$H30*BF$12*$N30))</f>
        <v>0</v>
      </c>
      <c r="BG30" s="123"/>
      <c r="BH30" s="143">
        <f>(BG30/12*2*$E30*$G30*((1-$L30)+$L30*$H30*BH$11*$N30))+(BG30/12*10*$F30*$G30*((1-$L30)+$L30*$H30*BH$11*$N30))</f>
        <v>0</v>
      </c>
      <c r="BI30" s="123"/>
      <c r="BJ30" s="143">
        <f>(BI30/12*2*$E30*$G30*((1-$L30)+$L30*$H30*BJ$11*$N30))+(BI30/12*10*$F30*$G30*((1-$L30)+$L30*$H30*BJ$11*$N30))</f>
        <v>0</v>
      </c>
      <c r="BK30" s="123"/>
      <c r="BL30" s="143">
        <f>(BK30/12*2*$E30*$G30*((1-$L30)+$L30*$H30*BL$11*$N30))+(BK30/12*10*$F30*$G30*((1-$L30)+$L30*$H30*BL$11*$N30))</f>
        <v>0</v>
      </c>
      <c r="BM30" s="123"/>
      <c r="BN30" s="143">
        <f>(BM30/12*2*$E30*$G30*((1-$L30)+$L30*$H30*BN$11*$M30))+(BM30/12*10*$F30*$G30*((1-$L30)+$L30*$H30*BN$11*$M30))</f>
        <v>0</v>
      </c>
      <c r="BO30" s="123"/>
      <c r="BP30" s="143">
        <f>(BO30/12*2*$E30*$G30*((1-$L30)+$L30*$H30*BP$11*$M30))+(BO30/12*10*$F30*$G30*((1-$L30)+$L30*$H30*BP$12*$M30))</f>
        <v>0</v>
      </c>
      <c r="BQ30" s="123"/>
      <c r="BR30" s="126"/>
      <c r="BS30" s="123"/>
      <c r="BT30" s="143">
        <f>(BS30/12*2*$E30*$G30*((1-$L30)+$L30*$H30*BT$11*$N30))+(BS30/12*10*$F30*$G30*((1-$L30)+$L30*$H30*BT$11*$N30))</f>
        <v>0</v>
      </c>
      <c r="BU30" s="123"/>
      <c r="BV30" s="123"/>
      <c r="BW30" s="123"/>
      <c r="BX30" s="143">
        <f>(BW30/12*2*$E30*$G30*((1-$L30)+$L30*$H30*BX$11*$M30))+(BW30/12*10*$F30*$G30*((1-$L30)+$L30*$H30*BX$11*$M30))</f>
        <v>0</v>
      </c>
      <c r="BY30" s="123"/>
      <c r="BZ30" s="143">
        <f>(BY30/12*2*$E30*$G30*((1-$L30)+$L30*$H30*BZ$11*$M30))+(BY30/12*10*$F30*$G30*((1-$L30)+$L30*$H30*BZ$11*$M30))</f>
        <v>0</v>
      </c>
      <c r="CA30" s="123"/>
      <c r="CB30" s="143">
        <f>(CA30/12*2*$E30*$G30*((1-$L30)+$L30*$H30*CB$11*$M30))+(CA30/12*10*$F30*$G30*((1-$L30)+$L30*$H30*CB$11*$M30))</f>
        <v>0</v>
      </c>
      <c r="CC30" s="123"/>
      <c r="CD30" s="146">
        <f>(CC30/12*2*$E30*$G30*((1-$L30)+$L30*$M30*$CD$11*$H30))+(CC30/12*10*$F30*$G30*((1-$L30)+$L30*$M30*$CD$11*$H30))</f>
        <v>0</v>
      </c>
      <c r="CE30" s="123"/>
      <c r="CF30" s="143">
        <f>(CE30/12*10*$F30*$G30*((1-$L30)+$L30*$H30*CF$11*$N30))</f>
        <v>0</v>
      </c>
      <c r="CG30" s="132"/>
      <c r="CH30" s="143">
        <f>(CG30/12*2*$E30*$G30*((1-$L30)+$L30*$H30*CH$11*$N30))+(CG30/12*10*$F30*$G30*((1-$L30)+$L30*$H30*CH$11*$N30))</f>
        <v>0</v>
      </c>
      <c r="CI30" s="123"/>
      <c r="CJ30" s="127"/>
      <c r="CK30" s="123"/>
      <c r="CL30" s="123"/>
      <c r="CM30" s="130"/>
      <c r="CN30" s="143">
        <f>((CM30/12*2*$E30*$G30*((1-$L30)+$L30*$H30*CN$11*$N30)))+((CM30/12*10*$F30*$G30*((1-$L30)+$L30*$H30*CN$11*$N30)))</f>
        <v>0</v>
      </c>
      <c r="CO30" s="123"/>
      <c r="CP30" s="143">
        <f>(CO30/12*2*$E30*$G30*((1-$L30)+$L30*$H30*CP$11*$N30))+(CO30/12*10*$F30*$G30*((1-$L30)+$L30*$H30*CP$11*$N30))</f>
        <v>0</v>
      </c>
      <c r="CQ30" s="123"/>
      <c r="CR30" s="143">
        <f>(CQ30/12*2*$E30*$G30*((1-$L30)+$L30*$H30*CR$11*$O30))+(CQ30/12*10*$F30*$G30*((1-$L30)+$L30*$H30*CR$11*$O30))</f>
        <v>0</v>
      </c>
      <c r="CS30" s="123"/>
      <c r="CT30" s="143">
        <f>(CS30/12*2*$E30*$G30*((1-$L30)+$L30*$H30*CT$11*$P30))+(CS30/12*10*$F30*$G30*((1-$L30)+$L30*$H30*CT$11*$P30))</f>
        <v>0</v>
      </c>
      <c r="CU30" s="127"/>
      <c r="CV30" s="127"/>
      <c r="CW30" s="126">
        <f t="shared" si="10"/>
        <v>14</v>
      </c>
      <c r="CX30" s="126">
        <f t="shared" si="10"/>
        <v>1946365.6497092503</v>
      </c>
    </row>
    <row r="31" spans="1:102" ht="30" x14ac:dyDescent="0.25">
      <c r="A31" s="91"/>
      <c r="B31" s="116">
        <v>16</v>
      </c>
      <c r="C31" s="147" t="s">
        <v>149</v>
      </c>
      <c r="D31" s="148" t="s">
        <v>150</v>
      </c>
      <c r="E31" s="95">
        <v>28004</v>
      </c>
      <c r="F31" s="96">
        <v>29405</v>
      </c>
      <c r="G31" s="149">
        <v>3.56</v>
      </c>
      <c r="H31" s="110">
        <v>0.9</v>
      </c>
      <c r="I31" s="203">
        <v>0.85</v>
      </c>
      <c r="J31" s="108"/>
      <c r="K31" s="108"/>
      <c r="L31" s="142">
        <v>0.38490000000000002</v>
      </c>
      <c r="M31" s="120">
        <v>1.4</v>
      </c>
      <c r="N31" s="120">
        <v>1.68</v>
      </c>
      <c r="O31" s="120">
        <v>2.23</v>
      </c>
      <c r="P31" s="121">
        <v>2.57</v>
      </c>
      <c r="Q31" s="122">
        <v>250</v>
      </c>
      <c r="R31" s="143">
        <f>(Q31/12*2*$E31*$G31*((1-$L31)+$L31*$M31*$R$11*$H31))+(Q31/12*10*$F31*$G31*((1-$L31)+$L31*$M31*$R$11*$I31))</f>
        <v>29173588.798151501</v>
      </c>
      <c r="S31" s="124"/>
      <c r="T31" s="144"/>
      <c r="U31" s="123">
        <v>1</v>
      </c>
      <c r="V31" s="143">
        <f>(U31*$F31*$G31*((1-$L31)+$L31*$M31*V$12*$I31))</f>
        <v>128159.96286261399</v>
      </c>
      <c r="W31" s="123"/>
      <c r="X31" s="143"/>
      <c r="Y31" s="123">
        <v>6</v>
      </c>
      <c r="Z31" s="143">
        <f>(Y31/12*2*$E31*$G31*((1-$L31)+$L31*$M31*$Z$11*$H31))+(Y31/12*10*$F31*$G31*((1-$L31)+$L31*$M31*$Z$12*$H31))</f>
        <v>788566.43898044399</v>
      </c>
      <c r="AA31" s="123"/>
      <c r="AB31" s="143">
        <f>(AA31/12*2*$E31*$G31*((1-$L31)+$L31*$M31*$AB$11*$H31))+(AA31/12*10*$F31*$G31*((1-$L31)+$L31*$M31*$AB$11*$I31))</f>
        <v>0</v>
      </c>
      <c r="AC31" s="123"/>
      <c r="AD31" s="123"/>
      <c r="AE31" s="123"/>
      <c r="AF31" s="143">
        <f>(AE31/12*2*$E31*$G31*((1-$L31)+$L31*$M31*AF$11*$H31))+(AE31/12*10*$F31*$G31*((1-$L31)+$L31*$M31*AF$11*$I31))</f>
        <v>0</v>
      </c>
      <c r="AG31" s="123"/>
      <c r="AH31" s="143"/>
      <c r="AI31" s="137">
        <v>186</v>
      </c>
      <c r="AJ31" s="143">
        <f>(AI31/12*2*$E31*$G31*((1-$L31)+$L31*$H31*AJ$11*$M31))+(AI31/12*5*$F31*$G31*((1-$L31)+$L31*$I31*AJ$12*$M31))+(AI31/12*5*$F31*$G31*((1-$L31)+$L31*$I31*AJ$13*$M31))</f>
        <v>23416968.730622537</v>
      </c>
      <c r="AK31" s="123"/>
      <c r="AL31" s="143"/>
      <c r="AM31" s="129">
        <v>3</v>
      </c>
      <c r="AN31" s="143">
        <f>(AM31*$F31*$G31*((1-$L31)+$L31*$N31*$AN$12*I31))</f>
        <v>422742.0011974104</v>
      </c>
      <c r="AO31" s="130">
        <v>1</v>
      </c>
      <c r="AP31" s="143">
        <f>(AO31/12*2*$E31*$G31*((1-$L31)+$L31*$H31*AP$11*$N31))+(AO31/12*10*$F31*$G31*((1-$L31)+$L31*$H31*AP$11*$N31))</f>
        <v>130360.01871146719</v>
      </c>
      <c r="AQ31" s="143">
        <v>5</v>
      </c>
      <c r="AR31" s="143">
        <v>635864.72</v>
      </c>
      <c r="AS31" s="123"/>
      <c r="AT31" s="123"/>
      <c r="AU31" s="123"/>
      <c r="AV31" s="123"/>
      <c r="AW31" s="123"/>
      <c r="AX31" s="143"/>
      <c r="AY31" s="123"/>
      <c r="AZ31" s="143">
        <f>(AY31/12*2*$E31*$G31*((1-$L31)+$L31*$N31*$H31*$AZ$11))+(AY31/12*10*$F31*$G31*((1-$L31)+$L31*$N31*$I31*$AZ$11))</f>
        <v>0</v>
      </c>
      <c r="BA31" s="123"/>
      <c r="BB31" s="143"/>
      <c r="BC31" s="123"/>
      <c r="BD31" s="126"/>
      <c r="BE31" s="123"/>
      <c r="BF31" s="143">
        <f>(BE31/12*10*$F31*$G31*((1-$L31)+$L31*$I31*BF$12*$N31))</f>
        <v>0</v>
      </c>
      <c r="BG31" s="123"/>
      <c r="BH31" s="143">
        <f>(BG31/12*2*$E31*$G31*((1-$L31)+$L31*$H31*BH$11*$N31))+(BG31/12*10*$F31*$G31*((1-$L31)+$L31*$I31*BH$11*$N31))</f>
        <v>0</v>
      </c>
      <c r="BI31" s="123"/>
      <c r="BJ31" s="143"/>
      <c r="BK31" s="123"/>
      <c r="BL31" s="143">
        <f>(BK31/12*2*$E31*$G31*((1-$L31)+$L31*$H31*BL$11*$N31))+(BK31/12*10*$F31*$G31*((1-$L31)+$L31*$I31*BL$11*$N31))</f>
        <v>0</v>
      </c>
      <c r="BM31" s="123"/>
      <c r="BN31" s="143"/>
      <c r="BO31" s="123"/>
      <c r="BP31" s="143">
        <f>(BO31/12*2*$E31*$G31*((1-$L31)+$L31*$H31*BP$11*$M31))+(BO31/12*10*$F31*$G31*((1-$L31)+$L31*$I31*BP$12*$M31))</f>
        <v>0</v>
      </c>
      <c r="BQ31" s="123"/>
      <c r="BR31" s="126"/>
      <c r="BS31" s="123"/>
      <c r="BT31" s="143">
        <f>(BS31/12*2*$E31*$G31*((1-$L31)+$L31*$H31*BT$11*$N31))+(BS31/12*10*$F31*$G31*((1-$L31)+$L31*$I31*BT$11*$N31))</f>
        <v>0</v>
      </c>
      <c r="BU31" s="123"/>
      <c r="BV31" s="123"/>
      <c r="BW31" s="123"/>
      <c r="BX31" s="143"/>
      <c r="BY31" s="123"/>
      <c r="BZ31" s="143"/>
      <c r="CA31" s="123"/>
      <c r="CB31" s="143">
        <f>(CA31/12*2*$E31*$G31*((1-$L31)+$L31*$H31*CB$11*$M31))+(CA31/12*10*$F31*$G31*((1-$L31)+$L31*$I31*CB$11*$M31))</f>
        <v>0</v>
      </c>
      <c r="CC31" s="123"/>
      <c r="CD31" s="146"/>
      <c r="CE31" s="123"/>
      <c r="CF31" s="143"/>
      <c r="CG31" s="132"/>
      <c r="CH31" s="143"/>
      <c r="CI31" s="123"/>
      <c r="CJ31" s="127"/>
      <c r="CK31" s="123"/>
      <c r="CL31" s="123"/>
      <c r="CM31" s="130"/>
      <c r="CN31" s="143">
        <f>((CM31/12*2*$E31*$G31*((1-$L31)+$L31*$H31*CN$11*$N31)))+((CM31/12*10*$F31*$G31*((1-$L31)+$L31*$I31*CN$11*$N31)))</f>
        <v>0</v>
      </c>
      <c r="CO31" s="123"/>
      <c r="CP31" s="143"/>
      <c r="CQ31" s="123"/>
      <c r="CR31" s="143"/>
      <c r="CS31" s="123"/>
      <c r="CT31" s="143">
        <f>(CS31/12*2*$E31*$G31*((1-$L31)+$L31*$H31*CT$11*$P31))+(CS31/12*10*$F31*$G31*((1-$L31)+$L31*$I31*CT$11*$P31))</f>
        <v>0</v>
      </c>
      <c r="CU31" s="127"/>
      <c r="CV31" s="127"/>
      <c r="CW31" s="126">
        <f t="shared" si="10"/>
        <v>452</v>
      </c>
      <c r="CX31" s="126">
        <f t="shared" si="10"/>
        <v>54696250.670525976</v>
      </c>
    </row>
    <row r="32" spans="1:102" ht="30" x14ac:dyDescent="0.25">
      <c r="A32" s="91"/>
      <c r="B32" s="116">
        <v>17</v>
      </c>
      <c r="C32" s="147" t="s">
        <v>151</v>
      </c>
      <c r="D32" s="148" t="s">
        <v>152</v>
      </c>
      <c r="E32" s="95">
        <v>28004</v>
      </c>
      <c r="F32" s="96">
        <v>29405</v>
      </c>
      <c r="G32" s="149">
        <v>4.46</v>
      </c>
      <c r="H32" s="110">
        <v>0.95</v>
      </c>
      <c r="I32" s="203">
        <v>0.9</v>
      </c>
      <c r="J32" s="108"/>
      <c r="K32" s="108"/>
      <c r="L32" s="142">
        <v>0.31979999999999997</v>
      </c>
      <c r="M32" s="120">
        <v>1.4</v>
      </c>
      <c r="N32" s="120">
        <v>1.68</v>
      </c>
      <c r="O32" s="120">
        <v>2.23</v>
      </c>
      <c r="P32" s="121">
        <v>2.57</v>
      </c>
      <c r="Q32" s="122">
        <v>40</v>
      </c>
      <c r="R32" s="143">
        <f>(Q32/12*2*$E32*$G32*((1-$L32)+$L32*$M32*$R$11*$H32))+(Q32/12*10*$F32*$G32*((1-$L32)+$L32*$M32*$R$11*$I32))</f>
        <v>5867119.8056174414</v>
      </c>
      <c r="S32" s="124"/>
      <c r="T32" s="144"/>
      <c r="U32" s="123"/>
      <c r="V32" s="143">
        <f>(U32/12*2*$E32*$G32*((1-$L32)+$L32*$M32*V$11*$H32))+(U32/12*10*$F32*$G32*((1-$L32)+$L32*$M32*V$12*$I32))</f>
        <v>0</v>
      </c>
      <c r="W32" s="123"/>
      <c r="X32" s="143"/>
      <c r="Y32" s="123">
        <v>7</v>
      </c>
      <c r="Z32" s="143">
        <f>(Y32/12*2*$E32*$G32*((1-$L32)+$L32*$M32*$Z$11*$H32))+(Y32/12*10*$F32*$G32*((1-$L32)+$L32*$M32*$Z$12*$H32))</f>
        <v>1139016.9157732329</v>
      </c>
      <c r="AA32" s="123"/>
      <c r="AB32" s="143">
        <f>(AA32/12*2*$E32*$G32*((1-$L32)+$L32*$M32*$AB$11*$H32))+(AA32/12*10*$F32*$G32*((1-$L32)+$L32*$M32*$AB$11*$I32))</f>
        <v>0</v>
      </c>
      <c r="AC32" s="123"/>
      <c r="AD32" s="123"/>
      <c r="AE32" s="123"/>
      <c r="AF32" s="143">
        <f>(AE32/12*2*$E32*$G32*((1-$L32)+$L32*$M32*AF$11*$H32))+(AE32/12*10*$F32*$G32*((1-$L32)+$L32*$M32*AF$11*$I32))</f>
        <v>0</v>
      </c>
      <c r="AG32" s="123">
        <v>0</v>
      </c>
      <c r="AH32" s="143"/>
      <c r="AI32" s="137">
        <v>29</v>
      </c>
      <c r="AJ32" s="143">
        <f>(AI32/12*2*$E32*$G32*((1-$L32)+$L32*$H32*AJ$11*$M32))+(AI32/12*5*$F32*$G32*((1-$L32)+$L32*$I32*AJ$12*$M32))+(AI32/12*5*$F32*$G32*((1-$L32)+$L32*$I32*AJ$13*$M32))</f>
        <v>4547661.6449395213</v>
      </c>
      <c r="AK32" s="123"/>
      <c r="AL32" s="143"/>
      <c r="AM32" s="129"/>
      <c r="AN32" s="143"/>
      <c r="AO32" s="130"/>
      <c r="AP32" s="143"/>
      <c r="AQ32" s="143">
        <v>0</v>
      </c>
      <c r="AR32" s="143">
        <v>0</v>
      </c>
      <c r="AS32" s="123"/>
      <c r="AT32" s="123"/>
      <c r="AU32" s="123"/>
      <c r="AV32" s="123"/>
      <c r="AW32" s="123"/>
      <c r="AX32" s="143"/>
      <c r="AY32" s="123"/>
      <c r="AZ32" s="143">
        <f>(AY32/12*2*$E32*$G32*((1-$L32)+$L32*$N32*$H32*$AZ$11))+(AY32/12*10*$F32*$G32*((1-$L32)+$L32*$N32*$I32*$AZ$11))</f>
        <v>0</v>
      </c>
      <c r="BA32" s="123"/>
      <c r="BB32" s="143"/>
      <c r="BC32" s="123"/>
      <c r="BD32" s="126"/>
      <c r="BE32" s="123"/>
      <c r="BF32" s="143">
        <f>(BE32/12*10*$F32*$G32*((1-$L32)+$L32*$I32*BF$12*$N32))</f>
        <v>0</v>
      </c>
      <c r="BG32" s="123"/>
      <c r="BH32" s="143">
        <f>(BG32/12*2*$E32*$G32*((1-$L32)+$L32*$H32*BH$11*$N32))+(BG32/12*10*$F32*$G32*((1-$L32)+$L32*$I32*BH$11*$N32))</f>
        <v>0</v>
      </c>
      <c r="BI32" s="123"/>
      <c r="BJ32" s="143"/>
      <c r="BK32" s="123"/>
      <c r="BL32" s="143">
        <f>(BK32/12*2*$E32*$G32*((1-$L32)+$L32*$H32*BL$11*$N32))+(BK32/12*10*$F32*$G32*((1-$L32)+$L32*$I32*BL$11*$N32))</f>
        <v>0</v>
      </c>
      <c r="BM32" s="123"/>
      <c r="BN32" s="143"/>
      <c r="BO32" s="123"/>
      <c r="BP32" s="143">
        <f>(BO32/12*2*$E32*$G32*((1-$L32)+$L32*$H32*BP$11*$M32))+(BO32/12*10*$F32*$G32*((1-$L32)+$L32*$I32*BP$12*$M32))</f>
        <v>0</v>
      </c>
      <c r="BQ32" s="123"/>
      <c r="BR32" s="126"/>
      <c r="BS32" s="123"/>
      <c r="BT32" s="143">
        <f>(BS32/12*2*$E32*$G32*((1-$L32)+$L32*$H32*BT$11*$N32))+(BS32/12*10*$F32*$G32*((1-$L32)+$L32*$I32*BT$11*$N32))</f>
        <v>0</v>
      </c>
      <c r="BU32" s="123"/>
      <c r="BV32" s="123"/>
      <c r="BW32" s="123"/>
      <c r="BX32" s="143"/>
      <c r="BY32" s="123"/>
      <c r="BZ32" s="143"/>
      <c r="CA32" s="123"/>
      <c r="CB32" s="143">
        <f>(CA32/12*2*$E32*$G32*((1-$L32)+$L32*$H32*CB$11*$M32))+(CA32/12*10*$F32*$G32*((1-$L32)+$L32*$I32*CB$11*$M32))</f>
        <v>0</v>
      </c>
      <c r="CC32" s="123"/>
      <c r="CD32" s="146"/>
      <c r="CE32" s="123"/>
      <c r="CF32" s="143"/>
      <c r="CG32" s="132"/>
      <c r="CH32" s="143"/>
      <c r="CI32" s="123"/>
      <c r="CJ32" s="127"/>
      <c r="CK32" s="123"/>
      <c r="CL32" s="123"/>
      <c r="CM32" s="130"/>
      <c r="CN32" s="143">
        <f>((CM32/12*2*$E32*$G32*((1-$L32)+$L32*$H32*CN$11*$N32)))+((CM32/12*10*$F32*$G32*((1-$L32)+$L32*$I32*CN$11*$N32)))</f>
        <v>0</v>
      </c>
      <c r="CO32" s="123"/>
      <c r="CP32" s="143"/>
      <c r="CQ32" s="123"/>
      <c r="CR32" s="143"/>
      <c r="CS32" s="123"/>
      <c r="CT32" s="143">
        <f>(CS32/12*2*$E32*$G32*((1-$L32)+$L32*$H32*CT$11*$P32))+(CS32/12*10*$F32*$G32*((1-$L32)+$L32*$I32*CT$11*$P32))</f>
        <v>0</v>
      </c>
      <c r="CU32" s="127"/>
      <c r="CV32" s="127"/>
      <c r="CW32" s="126">
        <f t="shared" si="10"/>
        <v>76</v>
      </c>
      <c r="CX32" s="126">
        <f t="shared" si="10"/>
        <v>11553798.366330195</v>
      </c>
    </row>
    <row r="33" spans="1:102" ht="30" customHeight="1" x14ac:dyDescent="0.25">
      <c r="A33" s="91"/>
      <c r="B33" s="116">
        <v>18</v>
      </c>
      <c r="C33" s="147" t="s">
        <v>153</v>
      </c>
      <c r="D33" s="148" t="s">
        <v>154</v>
      </c>
      <c r="E33" s="95">
        <v>28004</v>
      </c>
      <c r="F33" s="96">
        <v>29405</v>
      </c>
      <c r="G33" s="149">
        <v>4.97</v>
      </c>
      <c r="H33" s="107">
        <v>1</v>
      </c>
      <c r="I33" s="108"/>
      <c r="J33" s="108"/>
      <c r="K33" s="108"/>
      <c r="L33" s="142">
        <v>0.33610000000000001</v>
      </c>
      <c r="M33" s="120">
        <v>1.4</v>
      </c>
      <c r="N33" s="120">
        <v>1.68</v>
      </c>
      <c r="O33" s="120">
        <v>2.23</v>
      </c>
      <c r="P33" s="121">
        <v>2.57</v>
      </c>
      <c r="Q33" s="122"/>
      <c r="R33" s="143">
        <f>(Q33/12*2*$E33*$G33*((1-$L33)+$L33*$M33*$R$11*$H33))+(Q33/12*10*$F33*$G33*((1-$L33)+$L33*$M33*$R$11*$H33))</f>
        <v>0</v>
      </c>
      <c r="S33" s="124"/>
      <c r="T33" s="144">
        <f>(S33/12*2*$E33*$G33*((1-$L33)+$L33*$M33*$R$11*$H33))+(S33/12*10*$F33*$G33*((1-$L33)+$L33*$M33*$R$11*$H33))</f>
        <v>0</v>
      </c>
      <c r="U33" s="123"/>
      <c r="V33" s="143">
        <f>(U33/12*2*$E33*$G33*((1-$L33)+$L33*$M33*V$11*$H33))+(U33/12*10*$F33*$G33*((1-$L33)+$L33*$M33*V$12*$H33))</f>
        <v>0</v>
      </c>
      <c r="W33" s="123"/>
      <c r="X33" s="143">
        <f>(W33/12*2*$E33*$G33*((1-$L33)+$L33*$M33*$X$11*$H33))+(W33/12*10*$F33*$G33*((1-$L33)+$L33*$M33*$X$12*$H33))</f>
        <v>0</v>
      </c>
      <c r="Y33" s="123"/>
      <c r="Z33" s="143">
        <f>(Y33/12*2*$E33*$G33*((1-$L33)+$L33*$M33*$Z$11*$H33))+(Y33/12*10*$F33*$G33*((1-$L33)+$L33*$M33*$Z$12*$H33))</f>
        <v>0</v>
      </c>
      <c r="AA33" s="123"/>
      <c r="AB33" s="143">
        <f>(AA33/12*2*$E33*$G33*((1-$L33)+$L33*$M33*$AB$11*$H33))+(AA33/12*10*$F33*$G33*((1-$L33)+$L33*$M33*$AB$11*$H33))</f>
        <v>0</v>
      </c>
      <c r="AC33" s="123"/>
      <c r="AD33" s="123"/>
      <c r="AE33" s="123"/>
      <c r="AF33" s="143">
        <f>(AE33/12*2*$E33*$G33*((1-$L33)+$L33*$M33*AF$11*$H33))+(AE33/12*10*$F33*$G33*((1-$L33)+$L33*$M33*AF$11*$H33))</f>
        <v>0</v>
      </c>
      <c r="AG33" s="123">
        <v>0</v>
      </c>
      <c r="AH33" s="143">
        <f>(AG33/12*2*$E33*$G33*((1-$L33)+$L33*$H33*AH$11*$M33))+(AG33/12*10*$F33*$G33*((1-$L33)+$L33*$H33*AH$11*$M33))</f>
        <v>0</v>
      </c>
      <c r="AI33" s="137">
        <v>5</v>
      </c>
      <c r="AJ33" s="143">
        <f>(AI33/12*2*$E33*$G33*((1-$L33)+$L33*$H33*AJ$11*$M33))+(AI33/12*5*$F33*$G33*((1-$L33)+$L33*$H33*AJ$12*$M33))+(AI33/12*5*$F33*$G33*((1-$L33)+$L33*$H33*AJ$13*$M33))</f>
        <v>921833.65765359148</v>
      </c>
      <c r="AK33" s="123"/>
      <c r="AL33" s="143">
        <f>(AK33/12*2*$E33*$G33*((1-$L33)+$L33*$H33*AL$11*$N33))+(AK33/12*4*$F33*$G33*((1-$L33)+$L33*$H33*AL$12*$N33))+(AK33/12*6*$F33*$G33*((1-$L33)+$L33*$H33*AL$13*$N33))</f>
        <v>0</v>
      </c>
      <c r="AM33" s="129"/>
      <c r="AN33" s="143">
        <f>(AM33/12*2*$E33*$G33*((1-$L33)+$L33*$N33*$AN$11*H33))+(AM33/12*10*$F33*$G33*((1-$L33)+$L33*$N33*$AN$12*H33))</f>
        <v>0</v>
      </c>
      <c r="AO33" s="130"/>
      <c r="AP33" s="143">
        <f>(AO33/12*2*$E33*$G33*((1-$L33)+$L33*$H33*AP$11*$N33))+(AO33/12*10*$F33*$G33*((1-$L33)+$L33*$H33*AP$11*$N33))</f>
        <v>0</v>
      </c>
      <c r="AQ33" s="143">
        <v>0</v>
      </c>
      <c r="AR33" s="143">
        <v>0</v>
      </c>
      <c r="AS33" s="123"/>
      <c r="AT33" s="123"/>
      <c r="AU33" s="123"/>
      <c r="AV33" s="123"/>
      <c r="AW33" s="123"/>
      <c r="AX33" s="143">
        <f>(AW33/12*2*$E33*$G33*((1-$L33)+$L33*$H33*AX$11*$M33))+(AW33/12*10*$F33*$G33*((1-$L33)+$L33*$H33*AX$12*$M33))</f>
        <v>0</v>
      </c>
      <c r="AY33" s="123"/>
      <c r="AZ33" s="143">
        <f>(AY33/12*2*$E33*$G33*((1-$L33)+$L33*$N33*$H33*$AZ$11))+(AY33/12*10*$F33*$G33*((1-$L33)+$L33*$N33*$H33*$AZ$11))</f>
        <v>0</v>
      </c>
      <c r="BA33" s="123"/>
      <c r="BB33" s="143">
        <f>(BA33/12*2*$E33*$G33*((1-$L33)+$L33*$H33*BB$11*$N33))+(BA33/12*10*$F33*$G33*((1-$L33)+$L33*$H33*BB$12*$N33))</f>
        <v>0</v>
      </c>
      <c r="BC33" s="123"/>
      <c r="BD33" s="146">
        <f>(BC33/12*2*$E33*$G33*$H33*$N33*$BD$11)+(BC33/12*10*$F33*$G33*$H33*$N33*$BD$12)</f>
        <v>0</v>
      </c>
      <c r="BE33" s="123"/>
      <c r="BF33" s="143">
        <f>(BE33/12*2*$E33*$G33*((1-$L33)+$L33*$H33*BF$11*$N33))+(BE33/12*10*$F33*$G33*((1-$L33)+$L33*$H33*BF$12*$N33))</f>
        <v>0</v>
      </c>
      <c r="BG33" s="123"/>
      <c r="BH33" s="143">
        <f>(BG33/12*2*$E33*$G33*((1-$L33)+$L33*$H33*BH$11*$N33))+(BG33/12*10*$F33*$G33*((1-$L33)+$L33*$H33*BH$11*$N33))</f>
        <v>0</v>
      </c>
      <c r="BI33" s="123"/>
      <c r="BJ33" s="143">
        <f>(BI33/12*2*$E33*$G33*((1-$L33)+$L33*$H33*BJ$11*$N33))+(BI33/12*10*$F33*$G33*((1-$L33)+$L33*$H33*BJ$11*$N33))</f>
        <v>0</v>
      </c>
      <c r="BK33" s="123"/>
      <c r="BL33" s="143">
        <f>(BK33/12*2*$E33*$G33*((1-$L33)+$L33*$H33*BL$11*$N33))+(BK33/12*10*$F33*$G33*((1-$L33)+$L33*$H33*BL$11*$N33))</f>
        <v>0</v>
      </c>
      <c r="BM33" s="123"/>
      <c r="BN33" s="143">
        <f>(BM33/12*2*$E33*$G33*((1-$L33)+$L33*$H33*BN$11*$M33))+(BM33/12*10*$F33*$G33*((1-$L33)+$L33*$H33*BN$11*$M33))</f>
        <v>0</v>
      </c>
      <c r="BO33" s="123"/>
      <c r="BP33" s="143">
        <f>(BO33/12*2*$E33*$G33*((1-$L33)+$L33*$H33*BP$11*$M33))+(BO33/12*10*$F33*$G33*((1-$L33)+$L33*$H33*BP$12*$M33))</f>
        <v>0</v>
      </c>
      <c r="BQ33" s="123"/>
      <c r="BR33" s="126"/>
      <c r="BS33" s="123"/>
      <c r="BT33" s="143">
        <f>(BS33/12*2*$E33*$G33*((1-$L33)+$L33*$H33*BT$11*$N33))+(BS33/12*10*$F33*$G33*((1-$L33)+$L33*$H33*BT$11*$N33))</f>
        <v>0</v>
      </c>
      <c r="BU33" s="123"/>
      <c r="BV33" s="123"/>
      <c r="BW33" s="123"/>
      <c r="BX33" s="143">
        <f>(BW33/12*2*$E33*$G33*((1-$L33)+$L33*$H33*BX$11*$M33))+(BW33/12*10*$F33*$G33*((1-$L33)+$L33*$H33*BX$11*$M33))</f>
        <v>0</v>
      </c>
      <c r="BY33" s="123"/>
      <c r="BZ33" s="143">
        <f>(BY33/12*2*$E33*$G33*((1-$L33)+$L33*$H33*BZ$11*$M33))+(BY33/12*10*$F33*$G33*((1-$L33)+$L33*$H33*BZ$11*$M33))</f>
        <v>0</v>
      </c>
      <c r="CA33" s="123"/>
      <c r="CB33" s="143">
        <f>(CA33/12*2*$E33*$G33*((1-$L33)+$L33*$H33*CB$11*$M33))+(CA33/12*10*$F33*$G33*((1-$L33)+$L33*$H33*CB$11*$M33))</f>
        <v>0</v>
      </c>
      <c r="CC33" s="123"/>
      <c r="CD33" s="146">
        <f>(CC33/12*2*$E33*$G33*((1-$L33)+$L33*$M33*$CD$11*$H33))+(CC33/12*10*$F33*$G33*((1-$L33)+$L33*$M33*$CD$11*$H33))</f>
        <v>0</v>
      </c>
      <c r="CE33" s="123"/>
      <c r="CF33" s="143">
        <f>(CE33/12*10*$F33*$G33*((1-$L33)+$L33*$H33*CF$11*$N33))</f>
        <v>0</v>
      </c>
      <c r="CG33" s="132"/>
      <c r="CH33" s="143">
        <f>(CG33/12*2*$E33*$G33*((1-$L33)+$L33*$H33*CH$11*$N33))+(CG33/12*10*$F33*$G33*((1-$L33)+$L33*$H33*CH$11*$N33))</f>
        <v>0</v>
      </c>
      <c r="CI33" s="123"/>
      <c r="CJ33" s="127"/>
      <c r="CK33" s="123"/>
      <c r="CL33" s="123"/>
      <c r="CM33" s="130"/>
      <c r="CN33" s="143">
        <f>((CM33/12*2*$E33*$G33*((1-$L33)+$L33*$H33*CN$11*$N33)))+((CM33/12*10*$F33*$G33*((1-$L33)+$L33*$H33*CN$11*$N33)))</f>
        <v>0</v>
      </c>
      <c r="CO33" s="123"/>
      <c r="CP33" s="143">
        <f>(CO33/12*2*$E33*$G33*((1-$L33)+$L33*$H33*CP$11*$N33))+(CO33/12*10*$F33*$G33*((1-$L33)+$L33*$H33*CP$11*$N33))</f>
        <v>0</v>
      </c>
      <c r="CQ33" s="123"/>
      <c r="CR33" s="143">
        <f>(CQ33/12*2*$E33*$G33*((1-$L33)+$L33*$H33*CR$11*$O33))+(CQ33/12*10*$F33*$G33*((1-$L33)+$L33*$H33*CR$11*$O33))</f>
        <v>0</v>
      </c>
      <c r="CS33" s="123"/>
      <c r="CT33" s="143">
        <f>(CS33/12*2*$E33*$G33*((1-$L33)+$L33*$H33*CT$11*$P33))+(CS33/12*10*$F33*$G33*((1-$L33)+$L33*$H33*CT$11*$P33))</f>
        <v>0</v>
      </c>
      <c r="CU33" s="127"/>
      <c r="CV33" s="127"/>
      <c r="CW33" s="126">
        <f t="shared" si="10"/>
        <v>5</v>
      </c>
      <c r="CX33" s="126">
        <f t="shared" si="10"/>
        <v>921833.65765359148</v>
      </c>
    </row>
    <row r="34" spans="1:102" ht="15.75" customHeight="1" x14ac:dyDescent="0.25">
      <c r="A34" s="109">
        <v>3</v>
      </c>
      <c r="B34" s="150"/>
      <c r="C34" s="93" t="s">
        <v>155</v>
      </c>
      <c r="D34" s="94" t="s">
        <v>156</v>
      </c>
      <c r="E34" s="95">
        <v>28004</v>
      </c>
      <c r="F34" s="96">
        <v>29405</v>
      </c>
      <c r="G34" s="151">
        <v>1.25</v>
      </c>
      <c r="H34" s="107"/>
      <c r="I34" s="108"/>
      <c r="J34" s="108"/>
      <c r="K34" s="108"/>
      <c r="L34" s="111"/>
      <c r="M34" s="112">
        <v>1.4</v>
      </c>
      <c r="N34" s="112">
        <v>1.68</v>
      </c>
      <c r="O34" s="112">
        <v>2.23</v>
      </c>
      <c r="P34" s="113">
        <v>2.57</v>
      </c>
      <c r="Q34" s="103">
        <f>SUM(Q35:Q36)</f>
        <v>23</v>
      </c>
      <c r="R34" s="104">
        <f>SUM(R35:R36)</f>
        <v>1395989.1771933334</v>
      </c>
      <c r="S34" s="114">
        <f t="shared" ref="S34:CD34" si="11">SUM(S35:S36)</f>
        <v>4</v>
      </c>
      <c r="T34" s="115">
        <f t="shared" si="11"/>
        <v>44107.307999999997</v>
      </c>
      <c r="U34" s="104">
        <f t="shared" si="11"/>
        <v>64</v>
      </c>
      <c r="V34" s="104">
        <f t="shared" si="11"/>
        <v>11988884.434053335</v>
      </c>
      <c r="W34" s="104">
        <f t="shared" si="11"/>
        <v>0</v>
      </c>
      <c r="X34" s="104">
        <f t="shared" si="11"/>
        <v>0</v>
      </c>
      <c r="Y34" s="104">
        <f t="shared" si="11"/>
        <v>0</v>
      </c>
      <c r="Z34" s="104">
        <f t="shared" si="11"/>
        <v>0</v>
      </c>
      <c r="AA34" s="104">
        <f t="shared" si="11"/>
        <v>0</v>
      </c>
      <c r="AB34" s="104">
        <f t="shared" si="11"/>
        <v>0</v>
      </c>
      <c r="AC34" s="104">
        <f t="shared" si="11"/>
        <v>0</v>
      </c>
      <c r="AD34" s="104">
        <f t="shared" si="11"/>
        <v>0</v>
      </c>
      <c r="AE34" s="104">
        <f t="shared" si="11"/>
        <v>13</v>
      </c>
      <c r="AF34" s="105">
        <f t="shared" si="11"/>
        <v>143348.75099999999</v>
      </c>
      <c r="AG34" s="104">
        <f t="shared" si="11"/>
        <v>52</v>
      </c>
      <c r="AH34" s="104">
        <f t="shared" si="11"/>
        <v>573395.00399999996</v>
      </c>
      <c r="AI34" s="106">
        <f t="shared" si="11"/>
        <v>79</v>
      </c>
      <c r="AJ34" s="104">
        <f t="shared" si="11"/>
        <v>1258229.08078</v>
      </c>
      <c r="AK34" s="104">
        <f t="shared" si="11"/>
        <v>51</v>
      </c>
      <c r="AL34" s="104">
        <f>SUM(AL35:AL36)</f>
        <v>674841.81239999994</v>
      </c>
      <c r="AM34" s="104">
        <f t="shared" si="11"/>
        <v>3</v>
      </c>
      <c r="AN34" s="104">
        <f t="shared" si="11"/>
        <v>765043.05973199988</v>
      </c>
      <c r="AO34" s="106">
        <f t="shared" si="11"/>
        <v>2</v>
      </c>
      <c r="AP34" s="104">
        <f t="shared" si="11"/>
        <v>26464.3848</v>
      </c>
      <c r="AQ34" s="104">
        <v>1</v>
      </c>
      <c r="AR34" s="104">
        <v>13338.11</v>
      </c>
      <c r="AS34" s="104">
        <f t="shared" si="11"/>
        <v>0</v>
      </c>
      <c r="AT34" s="104">
        <f t="shared" si="11"/>
        <v>0</v>
      </c>
      <c r="AU34" s="104">
        <f t="shared" si="11"/>
        <v>0</v>
      </c>
      <c r="AV34" s="104">
        <f t="shared" si="11"/>
        <v>0</v>
      </c>
      <c r="AW34" s="104">
        <f t="shared" si="11"/>
        <v>7</v>
      </c>
      <c r="AX34" s="104">
        <f t="shared" si="11"/>
        <v>77187.789000000019</v>
      </c>
      <c r="AY34" s="104">
        <f t="shared" si="11"/>
        <v>84</v>
      </c>
      <c r="AZ34" s="104">
        <f t="shared" si="11"/>
        <v>4244867.7900160002</v>
      </c>
      <c r="BA34" s="104">
        <f t="shared" si="11"/>
        <v>12</v>
      </c>
      <c r="BB34" s="104">
        <f t="shared" si="11"/>
        <v>329288.86199999996</v>
      </c>
      <c r="BC34" s="104">
        <f t="shared" si="11"/>
        <v>0</v>
      </c>
      <c r="BD34" s="104">
        <f t="shared" si="11"/>
        <v>0</v>
      </c>
      <c r="BE34" s="104">
        <f t="shared" si="11"/>
        <v>4</v>
      </c>
      <c r="BF34" s="104">
        <f t="shared" si="11"/>
        <v>44460.36</v>
      </c>
      <c r="BG34" s="104">
        <f t="shared" si="11"/>
        <v>3</v>
      </c>
      <c r="BH34" s="104">
        <f t="shared" si="11"/>
        <v>39696.5772</v>
      </c>
      <c r="BI34" s="104">
        <f t="shared" si="11"/>
        <v>9</v>
      </c>
      <c r="BJ34" s="104">
        <f t="shared" si="11"/>
        <v>119089.73160000001</v>
      </c>
      <c r="BK34" s="104">
        <f t="shared" si="11"/>
        <v>10</v>
      </c>
      <c r="BL34" s="104">
        <f t="shared" si="11"/>
        <v>132321.92400000003</v>
      </c>
      <c r="BM34" s="104">
        <f t="shared" si="11"/>
        <v>20</v>
      </c>
      <c r="BN34" s="104">
        <f t="shared" si="11"/>
        <v>220536.54000000004</v>
      </c>
      <c r="BO34" s="104">
        <f t="shared" si="11"/>
        <v>17</v>
      </c>
      <c r="BP34" s="104">
        <f t="shared" si="11"/>
        <v>321633.33929999999</v>
      </c>
      <c r="BQ34" s="104">
        <f t="shared" si="11"/>
        <v>0</v>
      </c>
      <c r="BR34" s="104">
        <f t="shared" si="11"/>
        <v>0</v>
      </c>
      <c r="BS34" s="104">
        <f t="shared" si="11"/>
        <v>10</v>
      </c>
      <c r="BT34" s="104">
        <f t="shared" si="11"/>
        <v>132321.92400000003</v>
      </c>
      <c r="BU34" s="104">
        <f t="shared" si="11"/>
        <v>0</v>
      </c>
      <c r="BV34" s="104">
        <f t="shared" si="11"/>
        <v>0</v>
      </c>
      <c r="BW34" s="104">
        <f t="shared" si="11"/>
        <v>0</v>
      </c>
      <c r="BX34" s="104">
        <f t="shared" si="11"/>
        <v>0</v>
      </c>
      <c r="BY34" s="104">
        <f t="shared" si="11"/>
        <v>0</v>
      </c>
      <c r="BZ34" s="104">
        <f t="shared" si="11"/>
        <v>0</v>
      </c>
      <c r="CA34" s="104">
        <f t="shared" si="11"/>
        <v>12</v>
      </c>
      <c r="CB34" s="104">
        <f t="shared" si="11"/>
        <v>132321.924</v>
      </c>
      <c r="CC34" s="104">
        <f t="shared" si="11"/>
        <v>36</v>
      </c>
      <c r="CD34" s="104">
        <f t="shared" si="11"/>
        <v>396965.772</v>
      </c>
      <c r="CE34" s="104">
        <f t="shared" ref="CE34:CW34" si="12">SUM(CE35:CE36)</f>
        <v>5</v>
      </c>
      <c r="CF34" s="104">
        <f t="shared" si="12"/>
        <v>55575.450000000012</v>
      </c>
      <c r="CG34" s="104">
        <f t="shared" si="12"/>
        <v>20</v>
      </c>
      <c r="CH34" s="104">
        <f t="shared" si="12"/>
        <v>264643.84800000006</v>
      </c>
      <c r="CI34" s="104">
        <f t="shared" si="12"/>
        <v>0</v>
      </c>
      <c r="CJ34" s="104">
        <f t="shared" si="12"/>
        <v>0</v>
      </c>
      <c r="CK34" s="104">
        <f t="shared" si="12"/>
        <v>0</v>
      </c>
      <c r="CL34" s="104">
        <f t="shared" si="12"/>
        <v>0</v>
      </c>
      <c r="CM34" s="104">
        <f t="shared" si="12"/>
        <v>0</v>
      </c>
      <c r="CN34" s="104">
        <f t="shared" si="12"/>
        <v>0</v>
      </c>
      <c r="CO34" s="104">
        <f t="shared" si="12"/>
        <v>0</v>
      </c>
      <c r="CP34" s="104">
        <f t="shared" si="12"/>
        <v>0</v>
      </c>
      <c r="CQ34" s="104">
        <f t="shared" si="12"/>
        <v>5</v>
      </c>
      <c r="CR34" s="104">
        <f t="shared" si="12"/>
        <v>87820.800750000009</v>
      </c>
      <c r="CS34" s="104">
        <f t="shared" si="12"/>
        <v>5</v>
      </c>
      <c r="CT34" s="104">
        <f t="shared" si="12"/>
        <v>101210.51925000001</v>
      </c>
      <c r="CU34" s="104">
        <f t="shared" si="12"/>
        <v>0</v>
      </c>
      <c r="CV34" s="104">
        <f t="shared" si="12"/>
        <v>0</v>
      </c>
      <c r="CW34" s="104">
        <f t="shared" si="12"/>
        <v>551</v>
      </c>
      <c r="CX34" s="104">
        <f>SUM(CX35:CX36)</f>
        <v>23583584.273074664</v>
      </c>
    </row>
    <row r="35" spans="1:102" ht="30" x14ac:dyDescent="0.25">
      <c r="A35" s="91"/>
      <c r="B35" s="116">
        <v>19</v>
      </c>
      <c r="C35" s="117" t="s">
        <v>157</v>
      </c>
      <c r="D35" s="118" t="s">
        <v>158</v>
      </c>
      <c r="E35" s="95">
        <v>28004</v>
      </c>
      <c r="F35" s="96">
        <v>29405</v>
      </c>
      <c r="G35" s="120">
        <v>4.5199999999999996</v>
      </c>
      <c r="H35" s="110">
        <v>0.9</v>
      </c>
      <c r="I35" s="203">
        <v>0.85</v>
      </c>
      <c r="J35" s="108"/>
      <c r="K35" s="108"/>
      <c r="L35" s="63"/>
      <c r="M35" s="120">
        <v>1.4</v>
      </c>
      <c r="N35" s="120">
        <v>1.68</v>
      </c>
      <c r="O35" s="120">
        <v>2.23</v>
      </c>
      <c r="P35" s="121">
        <v>2.57</v>
      </c>
      <c r="Q35" s="122">
        <v>7</v>
      </c>
      <c r="R35" s="123">
        <f>(Q35/12*2*$E35*$G35*$H35*$M35*$R$11)+(Q35/12*10*$F35*$G35*$I35*$M35*$R$11)</f>
        <v>1219559.9451933333</v>
      </c>
      <c r="S35" s="124"/>
      <c r="T35" s="125">
        <f>(S35/12*2*$E35*$G35*$H35*$M35*$R$11)+(S35/12*10*$F35*$G35*$I35*$M35*$R$11)</f>
        <v>0</v>
      </c>
      <c r="U35" s="123">
        <v>56</v>
      </c>
      <c r="V35" s="123">
        <f>(U35/12*2*$E35*$G35*$H35*$M35*$V$11)+(U35/12*10*$F35*$G35*$I35*$M35*$V$12)</f>
        <v>11900669.818053335</v>
      </c>
      <c r="W35" s="123"/>
      <c r="X35" s="126">
        <f>(W35/12*2*$E35*$G35*$H35*$M35*$X$11)+(W35/12*10*$F35*$G35*$I35*$M35*$X$12)</f>
        <v>0</v>
      </c>
      <c r="Y35" s="123">
        <f>4-4</f>
        <v>0</v>
      </c>
      <c r="Z35" s="123">
        <f>(Y35/12*2*$E35*$G35*$H35*$M35*$Z$11)+(Y35/12*10*$F35*$G35*$I35*$M35*$Z$12)</f>
        <v>0</v>
      </c>
      <c r="AA35" s="123"/>
      <c r="AB35" s="123">
        <f>(AA35/12*2*$E35*$G35*$H35*$M35*$AB$11)+(AA35/12*10*$F35*$G35*$I35*$M35*$AB$11)</f>
        <v>0</v>
      </c>
      <c r="AC35" s="123"/>
      <c r="AD35" s="123"/>
      <c r="AE35" s="123"/>
      <c r="AF35" s="123">
        <f>(AE35/12*2*$E35*$G35*$H35*$M35*$AF$11)+(AE35/12*10*$F35*$G35*$I35*$M35*$AF$11)</f>
        <v>0</v>
      </c>
      <c r="AG35" s="135">
        <v>0</v>
      </c>
      <c r="AH35" s="136">
        <f>(AG35/12*2*$E35*$G35*$H35*$M35*$AH$11)+(AG35/12*10*$F35*$G35*$I35*$M35*$AH$11)</f>
        <v>0</v>
      </c>
      <c r="AI35" s="123">
        <v>2</v>
      </c>
      <c r="AJ35" s="123">
        <f>(AI35/12*2*$E35*$G35*$H35*$M35*$AJ$11)+(AI35/12*5*$F35*$G35*$I35*$M35*$AJ$12)+(AI35/12*5*$F35*$G35*$I35*$M35*$AJ$13)</f>
        <v>409163.4017799999</v>
      </c>
      <c r="AK35" s="123">
        <v>0</v>
      </c>
      <c r="AL35" s="123">
        <f>(AK35/12*2*$E35*$G35*$H35*$N35*$AL$11)+(AK35/12*5*$F35*$G35*$I35*$N35*$AL$12)+(AK35/12*5*$F35*$G35*$I35*$N35*$AL$13)</f>
        <v>0</v>
      </c>
      <c r="AM35" s="132">
        <v>3</v>
      </c>
      <c r="AN35" s="123">
        <f>(AM35/12*2*$E35*$G35*$H35*$N35*$AN$11)+(AM35/12*10*$F35*$G35*$I35*$N35*$AN$12)</f>
        <v>765043.05973199988</v>
      </c>
      <c r="AO35" s="130"/>
      <c r="AP35" s="127">
        <f>(AO35/12*2*$E35*$G35*$H35*$N35*$AP$11)+(AO35/12*10*$F35*$G35*$I35*$N35*$AP$11)</f>
        <v>0</v>
      </c>
      <c r="AQ35" s="127">
        <v>0</v>
      </c>
      <c r="AR35" s="127">
        <v>0</v>
      </c>
      <c r="AS35" s="123"/>
      <c r="AT35" s="123"/>
      <c r="AU35" s="123"/>
      <c r="AV35" s="126"/>
      <c r="AW35" s="123"/>
      <c r="AX35" s="123">
        <f>(AW35/12*2*$E35*$G35*$H35*$M35*$AX$11)+(AW35/12*10*$F35*$G35*$I35*$M35*$AX$12)</f>
        <v>0</v>
      </c>
      <c r="AY35" s="123">
        <v>16</v>
      </c>
      <c r="AZ35" s="123">
        <f>(AY35/12*2*$E35*$G35*$H35*$N35*$AZ$11)+(AY35/12*10*$F35*$G35*$I35*$N35*$AZ$11)</f>
        <v>3345078.7068159999</v>
      </c>
      <c r="BA35" s="123">
        <v>1</v>
      </c>
      <c r="BB35" s="123">
        <f>(BA35/12*2*$E35*$G35*$H35*$N35*$BB$11)+(BA35/12*10*$F35*$G35*$I35*$N35*$BB$12)</f>
        <v>183734.74559999997</v>
      </c>
      <c r="BC35" s="123"/>
      <c r="BD35" s="126"/>
      <c r="BE35" s="123"/>
      <c r="BF35" s="123">
        <f>(BE35/12*10*$F35*$G35*$I35*$N35*$BF$12)</f>
        <v>0</v>
      </c>
      <c r="BG35" s="123"/>
      <c r="BH35" s="123">
        <f>(BG35/12*2*$E35*$G35*$H35*$N35*$BH$11)+(BG35/12*10*$F35*$G35*$I35*$N35*$BH$11)</f>
        <v>0</v>
      </c>
      <c r="BI35" s="123"/>
      <c r="BJ35" s="126">
        <f>(BI35/12*2*$E35*$G35*$H35*$N35*$BJ$11)+(BI35/12*10*$F35*$G35*$I35*$N35*$BJ$11)</f>
        <v>0</v>
      </c>
      <c r="BK35" s="123"/>
      <c r="BL35" s="127">
        <f>(BK35/12*2*$E35*$G35*$H35*$N35*$BL$11)+(BK35/12*10*$F35*$G35*$I35*$N35*$BL$11)</f>
        <v>0</v>
      </c>
      <c r="BM35" s="123"/>
      <c r="BN35" s="123">
        <f>(BM35/12*2*$E35*$G35*$H35*$M35*$BN$11)+(BM35/12*10*$F35*$G35*$I35*$M35*$BN$11)</f>
        <v>0</v>
      </c>
      <c r="BO35" s="123">
        <v>1</v>
      </c>
      <c r="BP35" s="123">
        <f>(BO35/12*2*$E35*$G35*$H35*$M35*$BP$11)+(BO35/12*10*$F35*$G35*$I35*$M35*$BP$12)</f>
        <v>145204.10729999997</v>
      </c>
      <c r="BQ35" s="123"/>
      <c r="BR35" s="123">
        <f>(BQ35/12*2*$E35*$G35*$H35*$M35*$BR$11)+(BQ35/12*10*$F35*$G35*$I35*$M35*$BR$11)</f>
        <v>0</v>
      </c>
      <c r="BS35" s="123"/>
      <c r="BT35" s="123">
        <f>(BS35/12*2*$E35*$G35*$H35*$N35*$BT$11)+(BS35/12*10*$F35*$G35*$I35*$N35*$BT$11)</f>
        <v>0</v>
      </c>
      <c r="BU35" s="123"/>
      <c r="BV35" s="126">
        <f>(BU35/12*2*$E35*$G35*$H35*$M35*$BV$11)+(BU35/12*10*$F35*$G35*$I35*$M35*$BV$11)</f>
        <v>0</v>
      </c>
      <c r="BW35" s="123"/>
      <c r="BX35" s="123">
        <f>(BW35/12*2*$E35*$G35*$H35*$M35*$BX$11)+(BW35/12*10*$F35*$G35*$I35*$M35*$BX$11)</f>
        <v>0</v>
      </c>
      <c r="BY35" s="123"/>
      <c r="BZ35" s="123">
        <f>(BY35/12*2*$E35*$G35*$H35*$M35*$BZ$11)+(BY35/12*10*$F35*$G35*$I35*$M35*$BZ$11)</f>
        <v>0</v>
      </c>
      <c r="CA35" s="123"/>
      <c r="CB35" s="123">
        <f>(CA35/12*2*$E35*$G35*$H35*$M35*$CB$11)+(CA35/12*10*$F35*$G35*$I35*$M35*$CB$11)</f>
        <v>0</v>
      </c>
      <c r="CC35" s="123"/>
      <c r="CD35" s="123">
        <f>(CC35/12*2*$E35*$G35*$H35*$M35*$CD$11)+(CC35/12*10*$F35*$G35*$I35*$M35*$CD$11)</f>
        <v>0</v>
      </c>
      <c r="CE35" s="123"/>
      <c r="CF35" s="123">
        <f>(CE35/12*10*$F35*$G35*$I35*$N35*$CF$11)</f>
        <v>0</v>
      </c>
      <c r="CG35" s="132"/>
      <c r="CH35" s="123">
        <f>(CG35/12*2*$E35*$G35*$H35*$N35*$CH$11)+(CG35/12*10*$F35*$G35*$I35*$N35*$CH$11)</f>
        <v>0</v>
      </c>
      <c r="CI35" s="123"/>
      <c r="CJ35" s="127"/>
      <c r="CK35" s="123"/>
      <c r="CL35" s="123">
        <f>(CK35/12*2*$E35*$G35*$H35*$N35*$CL$11)+(CK35/12*10*$F35*$G35*$I35*$N35*$CL$12)</f>
        <v>0</v>
      </c>
      <c r="CM35" s="130"/>
      <c r="CN35" s="123">
        <f>(CM35/12*2*$E35*$G35*$H35*$N35*$CN$11)+(CM35/12*10*$F35*$G35*$I35*$N35*$CN$11)</f>
        <v>0</v>
      </c>
      <c r="CO35" s="123"/>
      <c r="CP35" s="123">
        <f>(CO35/12*2*$E35*$G35*$H35*$N35*$CP$11)+(CO35/12*10*$F35*$G35*$I35*$N35*$CP$11)</f>
        <v>0</v>
      </c>
      <c r="CQ35" s="123"/>
      <c r="CR35" s="123">
        <f>(CQ35/12*2*$E35*$G35*$H35*$O35*$CR$11)+(CQ35/12*10*$F35*$G35*$I35*$O35*$CR$11)</f>
        <v>0</v>
      </c>
      <c r="CS35" s="123"/>
      <c r="CT35" s="133">
        <f>(CS35/12*2*$E35*$G35*$H35*$P35*$CT$11)+(CS35/12*10*$F35*$G35*$I35*$P35*$CT$11)</f>
        <v>0</v>
      </c>
      <c r="CU35" s="127"/>
      <c r="CV35" s="127"/>
      <c r="CW35" s="126">
        <f>SUM(Q35,S35,U35,W35,Y35,AA35,AC35,AE35,AG35,AM35,BQ35,AI35,AU35,CC35,AW35,AY35,AK35,BC35,AO35,AQ35,BE35,CE35,BG35,BI35,BK35,BS35,BM35,BO35,BU35,BW35,BY35,CA35,CG35,BA35,AS35,CI35,CK35,CM35,CO35,CQ35,CS35,CU35)</f>
        <v>86</v>
      </c>
      <c r="CX35" s="126">
        <f>SUM(R35,T35,V35,X35,Z35,AB35,AD35,AF35,AH35,AN35,BR35,AJ35,AV35,CD35,AX35,AZ35,AL35,BD35,AP35,AR35,BF35,CF35,BH35,BJ35,BL35,BT35,BN35,BP35,BV35,BX35,BZ35,CB35,CH35,BB35,AT35,CJ35,CL35,CN35,CP35,CR35,CT35,CV35)</f>
        <v>17968453.784474667</v>
      </c>
    </row>
    <row r="36" spans="1:102" ht="30" customHeight="1" x14ac:dyDescent="0.25">
      <c r="A36" s="91"/>
      <c r="B36" s="116">
        <v>20</v>
      </c>
      <c r="C36" s="117" t="s">
        <v>159</v>
      </c>
      <c r="D36" s="118" t="s">
        <v>160</v>
      </c>
      <c r="E36" s="95">
        <v>28004</v>
      </c>
      <c r="F36" s="96">
        <v>29405</v>
      </c>
      <c r="G36" s="152">
        <v>0.27</v>
      </c>
      <c r="H36" s="107">
        <v>1</v>
      </c>
      <c r="I36" s="108"/>
      <c r="J36" s="108"/>
      <c r="K36" s="108"/>
      <c r="L36" s="63"/>
      <c r="M36" s="120">
        <v>1.4</v>
      </c>
      <c r="N36" s="120">
        <v>1.68</v>
      </c>
      <c r="O36" s="120">
        <v>2.23</v>
      </c>
      <c r="P36" s="121">
        <v>2.57</v>
      </c>
      <c r="Q36" s="122">
        <v>16</v>
      </c>
      <c r="R36" s="123">
        <f>(Q36/12*2*$E36*$G36*$H36*$M36)+(Q36/12*10*$F36*$G36*$H36*$M36)</f>
        <v>176429.23199999999</v>
      </c>
      <c r="S36" s="124">
        <v>4</v>
      </c>
      <c r="T36" s="125">
        <f>(S36/12*2*$E36*$G36*$H36*$M36)+(S36/12*10*$F36*$G36*$H36*$M36)</f>
        <v>44107.307999999997</v>
      </c>
      <c r="U36" s="123">
        <f>18-10</f>
        <v>8</v>
      </c>
      <c r="V36" s="123">
        <f>(U36/12*2*$E36*$G36*$H36*$M36)+(U36/12*10*$F36*$G36*$H36*$M36)</f>
        <v>88214.615999999995</v>
      </c>
      <c r="W36" s="123"/>
      <c r="X36" s="123">
        <f>(W36/12*2*$E36*$G36*$H36*$M36)+(W36/12*10*$F36*$G36*$H36*$M36)</f>
        <v>0</v>
      </c>
      <c r="Y36" s="123"/>
      <c r="Z36" s="123">
        <f>(Y36/12*2*$E36*$G36*$H36*$M36)+(Y36/12*10*$F36*$G36*$H36*$M36)</f>
        <v>0</v>
      </c>
      <c r="AA36" s="123"/>
      <c r="AB36" s="123">
        <f>(AA36/12*2*$E36*$G36*$H36*$M36)+(AA36/12*10*$F36*$G36*$H36*$M36)</f>
        <v>0</v>
      </c>
      <c r="AC36" s="123"/>
      <c r="AD36" s="123"/>
      <c r="AE36" s="123">
        <v>13</v>
      </c>
      <c r="AF36" s="127">
        <f>(AE36/12*2*$E36*$G36*$H36*$M36)+(AE36/12*10*$F36*$G36*$H36*$M36)</f>
        <v>143348.75099999999</v>
      </c>
      <c r="AG36" s="123">
        <v>52</v>
      </c>
      <c r="AH36" s="123">
        <f>(AG36/12*2*$E36*$G36*$H36*$M36)+(AG36/12*10*$F36*$G36*$H36*$M36)</f>
        <v>573395.00399999996</v>
      </c>
      <c r="AI36" s="130">
        <v>77</v>
      </c>
      <c r="AJ36" s="123">
        <f>(AI36/12*2*$E36*$G36*$H36*$M36)+(AI36/12*10*$F36*$G36*$H36*$M36)</f>
        <v>849065.679</v>
      </c>
      <c r="AK36" s="123">
        <v>51</v>
      </c>
      <c r="AL36" s="126">
        <f>(AK36/12*2*$E36*$G36*$H36*$N36)+(AK36/12*10*$F36*$G36*$H36*$N36)</f>
        <v>674841.81239999994</v>
      </c>
      <c r="AM36" s="132"/>
      <c r="AN36" s="123">
        <f>(AM36/12*2*$E36*$G36*$H36*$N36)+(AM36/12*10*$F36*$G36*$H36*$N36)</f>
        <v>0</v>
      </c>
      <c r="AO36" s="130">
        <v>2</v>
      </c>
      <c r="AP36" s="123">
        <f>(AO36/12*2*$E36*$G36*$H36*$N36)+(AO36/12*10*$F36*$G36*$H36*$N36)</f>
        <v>26464.3848</v>
      </c>
      <c r="AQ36" s="123">
        <v>1</v>
      </c>
      <c r="AR36" s="123">
        <v>13338.11</v>
      </c>
      <c r="AS36" s="123"/>
      <c r="AT36" s="123"/>
      <c r="AU36" s="123"/>
      <c r="AV36" s="123"/>
      <c r="AW36" s="123">
        <v>7</v>
      </c>
      <c r="AX36" s="123">
        <f>(AW36/12*2*$E36*$G36*$H36*$M36)+(AW36/12*10*$F36*$G36*$H36*$M36)</f>
        <v>77187.789000000019</v>
      </c>
      <c r="AY36" s="123">
        <v>68</v>
      </c>
      <c r="AZ36" s="123">
        <f>(AY36/12*2*$E36*$G36*$H36*$N36)+(AY36/12*10*$F36*$G36*$H36*$N36)</f>
        <v>899789.08320000011</v>
      </c>
      <c r="BA36" s="123">
        <v>11</v>
      </c>
      <c r="BB36" s="123">
        <f>(BA36/12*2*$E36*$G36*$H36*$N36)+(BA36/12*10*$F36*$G36*$H36*$N36)</f>
        <v>145554.1164</v>
      </c>
      <c r="BC36" s="123"/>
      <c r="BD36" s="123">
        <f>(BC36/12*2*$E36*$G36*$H36*$N36)+(BC36/12*10*$F36*$G36*$H36*$N36)</f>
        <v>0</v>
      </c>
      <c r="BE36" s="123">
        <v>4</v>
      </c>
      <c r="BF36" s="123">
        <f>(BE36/12*10*$F36*$G36*$H36*$N36)</f>
        <v>44460.36</v>
      </c>
      <c r="BG36" s="123">
        <v>3</v>
      </c>
      <c r="BH36" s="123">
        <f>(BG36/12*2*$E36*$G36*$H36*$N36)+(BG36/12*10*$F36*$G36*$H36*$N36)</f>
        <v>39696.5772</v>
      </c>
      <c r="BI36" s="123">
        <v>9</v>
      </c>
      <c r="BJ36" s="123">
        <f>(BI36/12*2*$E36*$G36*$H36*$N36)+(BI36/12*10*$F36*$G36*$H36*$N36)</f>
        <v>119089.73160000001</v>
      </c>
      <c r="BK36" s="123">
        <v>10</v>
      </c>
      <c r="BL36" s="123">
        <f>(BK36/12*2*$E36*$G36*$H36*$N36)+(BK36/12*10*$F36*$G36*$H36*$N36)</f>
        <v>132321.92400000003</v>
      </c>
      <c r="BM36" s="123">
        <v>20</v>
      </c>
      <c r="BN36" s="123">
        <f>(BM36/12*2*$E36*$G36*$H36*$M36)+(BM36/12*10*$F36*$G36*$H36*$M36)</f>
        <v>220536.54000000004</v>
      </c>
      <c r="BO36" s="123">
        <v>16</v>
      </c>
      <c r="BP36" s="123">
        <f>(BO36/12*2*$E36*$G36*$H36*$M36)+(BO36/12*10*$F36*$G36*$H36*$M36)</f>
        <v>176429.23199999999</v>
      </c>
      <c r="BQ36" s="123"/>
      <c r="BR36" s="123">
        <f>(BQ36/12*2*$E36*$G36*$H36*$M36)+(BQ36/12*10*$F36*$G36*$H36*$M36)</f>
        <v>0</v>
      </c>
      <c r="BS36" s="123">
        <v>10</v>
      </c>
      <c r="BT36" s="123">
        <f>(BS36/12*2*$E36*$G36*$H36*$N36)+(BS36/12*10*$F36*$G36*$H36*$N36)</f>
        <v>132321.92400000003</v>
      </c>
      <c r="BU36" s="123"/>
      <c r="BV36" s="123">
        <f>(BU36/12*2*$E36*$G36*$H36*$M36)+(BU36/12*10*$F36*$G36*$H36*$M36)</f>
        <v>0</v>
      </c>
      <c r="BW36" s="123"/>
      <c r="BX36" s="123">
        <f>(BW36/12*2*$E36*$G36*$H36*$M36)+(BW36/12*10*$F36*$G36*$H36*$M36)</f>
        <v>0</v>
      </c>
      <c r="BY36" s="123"/>
      <c r="BZ36" s="123">
        <f>(BY36/12*2*$E36*$G36*$H36*$M36)+(BY36/12*10*$F36*$G36*$H36*$M36)</f>
        <v>0</v>
      </c>
      <c r="CA36" s="123">
        <v>12</v>
      </c>
      <c r="CB36" s="123">
        <f>(CA36/12*2*$E36*$G36*$H36*$M36)+(CA36/12*10*$F36*$G36*$H36*$M36)</f>
        <v>132321.924</v>
      </c>
      <c r="CC36" s="123">
        <v>36</v>
      </c>
      <c r="CD36" s="123">
        <f>(CC36/12*2*$E36*$G36*$H36*$M36)+(CC36/12*10*$F36*$G36*$H36*$M36)</f>
        <v>396965.772</v>
      </c>
      <c r="CE36" s="123">
        <v>5</v>
      </c>
      <c r="CF36" s="123">
        <f>(CE36/12*10*$F36*$G36*$H36*$N36)</f>
        <v>55575.450000000012</v>
      </c>
      <c r="CG36" s="132">
        <v>20</v>
      </c>
      <c r="CH36" s="123">
        <f>(CG36/12*2*$E36*$G36*$H36*$N36)+(CG36/12*10*$F36*$G36*$H36*$N36)</f>
        <v>264643.84800000006</v>
      </c>
      <c r="CI36" s="123"/>
      <c r="CJ36" s="127">
        <f>(CI36*$E36*$G36*$H36*$N36)</f>
        <v>0</v>
      </c>
      <c r="CK36" s="123"/>
      <c r="CL36" s="123">
        <f>(CK36/12*2*$E36*$G36*$H36*$N36)+(CK36/12*10*$F36*$G36*$H36*$N36)</f>
        <v>0</v>
      </c>
      <c r="CM36" s="130"/>
      <c r="CN36" s="123">
        <f>(CM36/12*2*$E36*$G36*$H36*$N36)+(CM36/12*10*$F36*$G36*$H36*$N36)</f>
        <v>0</v>
      </c>
      <c r="CO36" s="123"/>
      <c r="CP36" s="123">
        <f>(CO36/12*2*$E36*$G36*$H36*$N36)+(CO36/12*10*$F36*$G36*$H36*$N36)</f>
        <v>0</v>
      </c>
      <c r="CQ36" s="123">
        <v>5</v>
      </c>
      <c r="CR36" s="123">
        <f>(CQ36/12*2*$E36*$G36*$H36*$O36)+(CQ36/12*10*$F36*$G36*$H36*$O36)</f>
        <v>87820.800750000009</v>
      </c>
      <c r="CS36" s="123">
        <v>5</v>
      </c>
      <c r="CT36" s="127">
        <f>(CS36/12*2*$E36*$G36*$H36*$P36)+(CS36/12*10*$F36*$G36*$H36*$P36)</f>
        <v>101210.51925000001</v>
      </c>
      <c r="CU36" s="127"/>
      <c r="CV36" s="127"/>
      <c r="CW36" s="126">
        <f>SUM(Q36,S36,U36,W36,Y36,AA36,AC36,AE36,AG36,AM36,BQ36,AI36,AU36,CC36,AW36,AY36,AK36,BC36,AO36,AQ36,BE36,CE36,BG36,BI36,BK36,BS36,BM36,BO36,BU36,BW36,BY36,CA36,CG36,BA36,AS36,CI36,CK36,CM36,CO36,CQ36,CS36,CU36)</f>
        <v>465</v>
      </c>
      <c r="CX36" s="126">
        <f>SUM(R36,T36,V36,X36,Z36,AB36,AD36,AF36,AH36,AN36,BR36,AJ36,AV36,CD36,AX36,AZ36,AL36,BD36,AP36,AR36,BF36,CF36,BH36,BJ36,BL36,BT36,BN36,BP36,BV36,BX36,BZ36,CB36,CH36,BB36,AT36,CJ36,CL36,CN36,CP36,CR36,CT36,CV36)</f>
        <v>5615130.4885999989</v>
      </c>
    </row>
    <row r="37" spans="1:102" ht="15.75" customHeight="1" x14ac:dyDescent="0.25">
      <c r="A37" s="109">
        <v>4</v>
      </c>
      <c r="B37" s="150"/>
      <c r="C37" s="93" t="s">
        <v>161</v>
      </c>
      <c r="D37" s="94" t="s">
        <v>162</v>
      </c>
      <c r="E37" s="95">
        <v>28004</v>
      </c>
      <c r="F37" s="96">
        <v>29405</v>
      </c>
      <c r="G37" s="151">
        <v>1.04</v>
      </c>
      <c r="H37" s="107"/>
      <c r="I37" s="108"/>
      <c r="J37" s="108"/>
      <c r="K37" s="108"/>
      <c r="L37" s="111"/>
      <c r="M37" s="112">
        <v>1.4</v>
      </c>
      <c r="N37" s="112">
        <v>1.68</v>
      </c>
      <c r="O37" s="112">
        <v>2.23</v>
      </c>
      <c r="P37" s="113">
        <v>2.57</v>
      </c>
      <c r="Q37" s="103">
        <f>SUM(Q38:Q43)</f>
        <v>678</v>
      </c>
      <c r="R37" s="104">
        <f>SUM(R38:R43)</f>
        <v>38478521.217500001</v>
      </c>
      <c r="S37" s="114">
        <f t="shared" ref="S37:CD37" si="13">SUM(S38:S43)</f>
        <v>109</v>
      </c>
      <c r="T37" s="115">
        <f t="shared" si="13"/>
        <v>4330847.5644000005</v>
      </c>
      <c r="U37" s="104">
        <f t="shared" si="13"/>
        <v>110</v>
      </c>
      <c r="V37" s="104">
        <f t="shared" si="13"/>
        <v>10026061.588269999</v>
      </c>
      <c r="W37" s="104">
        <f t="shared" si="13"/>
        <v>0</v>
      </c>
      <c r="X37" s="104">
        <f t="shared" si="13"/>
        <v>0</v>
      </c>
      <c r="Y37" s="104">
        <f t="shared" si="13"/>
        <v>0</v>
      </c>
      <c r="Z37" s="104">
        <f t="shared" si="13"/>
        <v>0</v>
      </c>
      <c r="AA37" s="104">
        <f t="shared" si="13"/>
        <v>0</v>
      </c>
      <c r="AB37" s="104">
        <f t="shared" si="13"/>
        <v>0</v>
      </c>
      <c r="AC37" s="104">
        <f t="shared" si="13"/>
        <v>0</v>
      </c>
      <c r="AD37" s="104">
        <f t="shared" si="13"/>
        <v>0</v>
      </c>
      <c r="AE37" s="104">
        <f t="shared" si="13"/>
        <v>340</v>
      </c>
      <c r="AF37" s="105">
        <f t="shared" si="13"/>
        <v>16585910.255693333</v>
      </c>
      <c r="AG37" s="104">
        <f t="shared" si="13"/>
        <v>395</v>
      </c>
      <c r="AH37" s="104">
        <f t="shared" si="13"/>
        <v>17085389.940640002</v>
      </c>
      <c r="AI37" s="106">
        <f t="shared" si="13"/>
        <v>542</v>
      </c>
      <c r="AJ37" s="104">
        <f t="shared" si="13"/>
        <v>27174177.597583327</v>
      </c>
      <c r="AK37" s="104">
        <f t="shared" si="13"/>
        <v>652</v>
      </c>
      <c r="AL37" s="104">
        <f t="shared" si="13"/>
        <v>36660935.148907997</v>
      </c>
      <c r="AM37" s="104">
        <f t="shared" si="13"/>
        <v>2</v>
      </c>
      <c r="AN37" s="104">
        <f t="shared" si="13"/>
        <v>159065.82075999997</v>
      </c>
      <c r="AO37" s="106">
        <f t="shared" si="13"/>
        <v>3</v>
      </c>
      <c r="AP37" s="104">
        <f t="shared" si="13"/>
        <v>117766.51236000001</v>
      </c>
      <c r="AQ37" s="104">
        <v>31</v>
      </c>
      <c r="AR37" s="104">
        <v>1419255.0200000005</v>
      </c>
      <c r="AS37" s="104">
        <f t="shared" si="13"/>
        <v>0</v>
      </c>
      <c r="AT37" s="104">
        <f t="shared" si="13"/>
        <v>0</v>
      </c>
      <c r="AU37" s="104">
        <f t="shared" si="13"/>
        <v>0</v>
      </c>
      <c r="AV37" s="104">
        <f t="shared" si="13"/>
        <v>0</v>
      </c>
      <c r="AW37" s="104">
        <f t="shared" si="13"/>
        <v>78</v>
      </c>
      <c r="AX37" s="104">
        <f t="shared" si="13"/>
        <v>3216569.9656999996</v>
      </c>
      <c r="AY37" s="104">
        <f t="shared" si="13"/>
        <v>683</v>
      </c>
      <c r="AZ37" s="104">
        <f t="shared" si="13"/>
        <v>35443420.134472005</v>
      </c>
      <c r="BA37" s="104">
        <f t="shared" si="13"/>
        <v>23</v>
      </c>
      <c r="BB37" s="104">
        <f t="shared" si="13"/>
        <v>1294463.5267199997</v>
      </c>
      <c r="BC37" s="104">
        <f t="shared" si="13"/>
        <v>0</v>
      </c>
      <c r="BD37" s="104">
        <f t="shared" si="13"/>
        <v>0</v>
      </c>
      <c r="BE37" s="104">
        <f t="shared" si="13"/>
        <v>113</v>
      </c>
      <c r="BF37" s="104">
        <f t="shared" si="13"/>
        <v>4958812.1520000007</v>
      </c>
      <c r="BG37" s="104">
        <f t="shared" si="13"/>
        <v>66</v>
      </c>
      <c r="BH37" s="104">
        <f t="shared" si="13"/>
        <v>2843598.1467599999</v>
      </c>
      <c r="BI37" s="104">
        <f t="shared" si="13"/>
        <v>102</v>
      </c>
      <c r="BJ37" s="104">
        <f t="shared" si="13"/>
        <v>5420347.0801199991</v>
      </c>
      <c r="BK37" s="104">
        <f t="shared" si="13"/>
        <v>124</v>
      </c>
      <c r="BL37" s="104">
        <f t="shared" si="13"/>
        <v>6852805.4195999987</v>
      </c>
      <c r="BM37" s="104">
        <f t="shared" si="13"/>
        <v>0</v>
      </c>
      <c r="BN37" s="104">
        <f t="shared" si="13"/>
        <v>0</v>
      </c>
      <c r="BO37" s="104">
        <f t="shared" si="13"/>
        <v>1</v>
      </c>
      <c r="BP37" s="104">
        <f t="shared" si="13"/>
        <v>32712.920099999996</v>
      </c>
      <c r="BQ37" s="104">
        <f t="shared" si="13"/>
        <v>0</v>
      </c>
      <c r="BR37" s="104">
        <f t="shared" si="13"/>
        <v>0</v>
      </c>
      <c r="BS37" s="104">
        <f t="shared" si="13"/>
        <v>91</v>
      </c>
      <c r="BT37" s="104">
        <f t="shared" si="13"/>
        <v>3974068.4508000002</v>
      </c>
      <c r="BU37" s="104">
        <f t="shared" si="13"/>
        <v>56</v>
      </c>
      <c r="BV37" s="104">
        <f t="shared" si="13"/>
        <v>1842337.7511</v>
      </c>
      <c r="BW37" s="104">
        <f t="shared" si="13"/>
        <v>15</v>
      </c>
      <c r="BX37" s="104">
        <f t="shared" si="13"/>
        <v>426370.64400000003</v>
      </c>
      <c r="BY37" s="104">
        <f t="shared" si="13"/>
        <v>120</v>
      </c>
      <c r="BZ37" s="104">
        <f t="shared" si="13"/>
        <v>5129026.4787999997</v>
      </c>
      <c r="CA37" s="104">
        <f t="shared" si="13"/>
        <v>112</v>
      </c>
      <c r="CB37" s="104">
        <f t="shared" si="13"/>
        <v>4954475.8914000001</v>
      </c>
      <c r="CC37" s="104">
        <f t="shared" si="13"/>
        <v>151</v>
      </c>
      <c r="CD37" s="104">
        <f t="shared" si="13"/>
        <v>5553926.8791999994</v>
      </c>
      <c r="CE37" s="104">
        <f t="shared" ref="CE37:CW37" si="14">SUM(CE38:CE43)</f>
        <v>45</v>
      </c>
      <c r="CF37" s="104">
        <f t="shared" si="14"/>
        <v>3672919.74</v>
      </c>
      <c r="CG37" s="104">
        <f t="shared" si="14"/>
        <v>166</v>
      </c>
      <c r="CH37" s="104">
        <f t="shared" si="14"/>
        <v>7354452.5359199997</v>
      </c>
      <c r="CI37" s="104">
        <f t="shared" si="14"/>
        <v>0</v>
      </c>
      <c r="CJ37" s="104">
        <f t="shared" si="14"/>
        <v>0</v>
      </c>
      <c r="CK37" s="104">
        <f t="shared" si="14"/>
        <v>0</v>
      </c>
      <c r="CL37" s="104">
        <f t="shared" si="14"/>
        <v>0</v>
      </c>
      <c r="CM37" s="104">
        <f t="shared" si="14"/>
        <v>29</v>
      </c>
      <c r="CN37" s="104">
        <f t="shared" si="14"/>
        <v>1235494.7052</v>
      </c>
      <c r="CO37" s="104">
        <f t="shared" si="14"/>
        <v>102</v>
      </c>
      <c r="CP37" s="104">
        <f t="shared" si="14"/>
        <v>593937.73999999987</v>
      </c>
      <c r="CQ37" s="104">
        <f t="shared" si="14"/>
        <v>16</v>
      </c>
      <c r="CR37" s="104">
        <f t="shared" si="14"/>
        <v>893950.69919000007</v>
      </c>
      <c r="CS37" s="104">
        <f t="shared" si="14"/>
        <v>25</v>
      </c>
      <c r="CT37" s="104">
        <f t="shared" si="14"/>
        <v>1768110.2859199997</v>
      </c>
      <c r="CU37" s="104">
        <f t="shared" si="14"/>
        <v>0</v>
      </c>
      <c r="CV37" s="104">
        <f t="shared" si="14"/>
        <v>0</v>
      </c>
      <c r="CW37" s="104">
        <f t="shared" si="14"/>
        <v>4980</v>
      </c>
      <c r="CX37" s="104">
        <f>SUM(CX38:CX43)</f>
        <v>249499731.81311667</v>
      </c>
    </row>
    <row r="38" spans="1:102" ht="33" customHeight="1" x14ac:dyDescent="0.25">
      <c r="A38" s="277" t="s">
        <v>163</v>
      </c>
      <c r="B38" s="116">
        <v>21</v>
      </c>
      <c r="C38" s="117" t="s">
        <v>164</v>
      </c>
      <c r="D38" s="118" t="s">
        <v>165</v>
      </c>
      <c r="E38" s="95">
        <v>28004</v>
      </c>
      <c r="F38" s="96">
        <v>29405</v>
      </c>
      <c r="G38" s="120">
        <v>0.89</v>
      </c>
      <c r="H38" s="110">
        <v>0.9</v>
      </c>
      <c r="I38" s="108"/>
      <c r="J38" s="108"/>
      <c r="K38" s="108"/>
      <c r="L38" s="63"/>
      <c r="M38" s="120">
        <v>1.4</v>
      </c>
      <c r="N38" s="120">
        <v>1.68</v>
      </c>
      <c r="O38" s="120">
        <v>2.23</v>
      </c>
      <c r="P38" s="121">
        <v>2.57</v>
      </c>
      <c r="Q38" s="122">
        <v>37</v>
      </c>
      <c r="R38" s="123">
        <f>(Q38/12*2*$E38*$G38*$H38*$M38)+(Q38/12*10*$F38*$G38*$H38*$M38)</f>
        <v>1210378.0437</v>
      </c>
      <c r="S38" s="124">
        <v>20</v>
      </c>
      <c r="T38" s="125">
        <f>(S38/12*2*$E38*$G38*$H38*$M38)+(S38/12*10*$F38*$G38*$H38*$M38)</f>
        <v>654258.402</v>
      </c>
      <c r="U38" s="123">
        <v>12</v>
      </c>
      <c r="V38" s="123">
        <f>(U38/12*2*$E38*$G38*$H38*$M38)+(U38/12*10*$F38*$G38*$H38*$M38)</f>
        <v>392555.04119999998</v>
      </c>
      <c r="W38" s="123"/>
      <c r="X38" s="123">
        <f>(W38/12*2*$E38*$G38*$H38*$M38)+(W38/12*10*$F38*$G38*$H38*$M38)</f>
        <v>0</v>
      </c>
      <c r="Y38" s="123">
        <f>1-1</f>
        <v>0</v>
      </c>
      <c r="Z38" s="123">
        <f>(Y38/12*2*$E38*$G38*$H38*$M38)+(Y38/12*10*$F38*$G38*$H38*$M38)</f>
        <v>0</v>
      </c>
      <c r="AA38" s="123"/>
      <c r="AB38" s="123">
        <f>(AA38/12*2*$E38*$G38*$H38*$M38)+(AA38/12*10*$F38*$G38*$H38*$M38)</f>
        <v>0</v>
      </c>
      <c r="AC38" s="123"/>
      <c r="AD38" s="123"/>
      <c r="AE38" s="123">
        <v>41</v>
      </c>
      <c r="AF38" s="127">
        <f>(AE38/12*2*$E38*$G38*$H38*$M38)+(AE38/12*10*$F38*$G38*$H38*$M38)</f>
        <v>1341229.7241</v>
      </c>
      <c r="AG38" s="123">
        <v>84</v>
      </c>
      <c r="AH38" s="123">
        <f>(AG38/12*2*$E38*$G38*$H38*$M38)+(AG38/12*10*$F38*$G38*$H38*$M38)</f>
        <v>2747885.2884</v>
      </c>
      <c r="AI38" s="130">
        <v>112</v>
      </c>
      <c r="AJ38" s="123">
        <f>(AI38/12*2*$E38*$G38*$H38*$M38)+(AI38/12*10*$F38*$G38*$H38*$M38)</f>
        <v>3663847.0512000006</v>
      </c>
      <c r="AK38" s="123">
        <v>97</v>
      </c>
      <c r="AL38" s="126">
        <f>(AK38/12*2*$E38*$G38*$H38*$N38)+(AK38/12*10*$F38*$G38*$H38*$N38)</f>
        <v>3807783.8996400004</v>
      </c>
      <c r="AM38" s="132"/>
      <c r="AN38" s="123">
        <f>(AM38/12*2*$E38*$G38*$H38*$N38)+(AM38/12*10*$F38*$G38*$H38*$N38)</f>
        <v>0</v>
      </c>
      <c r="AO38" s="130">
        <v>3</v>
      </c>
      <c r="AP38" s="123">
        <f>(AO38/12*2*$E38*$G38*$H38*$N38)+(AO38/12*10*$F38*$G38*$H38*$N38)</f>
        <v>117766.51236000001</v>
      </c>
      <c r="AQ38" s="123">
        <v>3</v>
      </c>
      <c r="AR38" s="123">
        <v>116823.86</v>
      </c>
      <c r="AS38" s="123"/>
      <c r="AT38" s="123"/>
      <c r="AU38" s="123"/>
      <c r="AV38" s="123"/>
      <c r="AW38" s="123">
        <v>9</v>
      </c>
      <c r="AX38" s="123">
        <f>(AW38/12*2*$E38*$G38*$H38*$M38)+(AW38/12*10*$F38*$G38*$H38*$M38)</f>
        <v>294416.28090000001</v>
      </c>
      <c r="AY38" s="123">
        <v>96</v>
      </c>
      <c r="AZ38" s="123">
        <f>(AY38/12*2*$E38*$G38*$H38*$N38)+(AY38/12*10*$F38*$G38*$H38*$N38)</f>
        <v>3768528.3955200003</v>
      </c>
      <c r="BA38" s="123">
        <v>16</v>
      </c>
      <c r="BB38" s="123">
        <f>(BA38/12*2*$E38*$G38*$H38*$N38)+(BA38/12*10*$F38*$G38*$H38*$N38)</f>
        <v>628088.06591999985</v>
      </c>
      <c r="BC38" s="123"/>
      <c r="BD38" s="123">
        <f>(BC38/12*2*$E38*$G38*$H38*$N38)+(BC38/12*10*$F38*$G38*$H38*$N38)</f>
        <v>0</v>
      </c>
      <c r="BE38" s="123">
        <v>6</v>
      </c>
      <c r="BF38" s="123">
        <f>(BE38/12*10*$F38*$G38*$H38*$N38)</f>
        <v>197848.60200000001</v>
      </c>
      <c r="BG38" s="123">
        <v>3</v>
      </c>
      <c r="BH38" s="123">
        <f>(BG38/12*2*$E38*$G38*$H38*$N38)+(BG38/12*10*$F38*$G38*$H38*$N38)</f>
        <v>117766.51236000001</v>
      </c>
      <c r="BI38" s="123">
        <v>21</v>
      </c>
      <c r="BJ38" s="123">
        <f>(BI38/12*2*$E38*$G38*$H38*$N38)+(BI38/12*10*$F38*$G38*$H38*$N38)</f>
        <v>824365.5865199999</v>
      </c>
      <c r="BK38" s="123">
        <v>22</v>
      </c>
      <c r="BL38" s="123">
        <f>(BK38/12*2*$E38*$G38*$H38*$N38)+(BK38/12*10*$F38*$G38*$H38*$N38)</f>
        <v>863621.09063999995</v>
      </c>
      <c r="BM38" s="123"/>
      <c r="BN38" s="123">
        <f>(BM38/12*2*$E38*$G38*$H38*$M38)+(BM38/12*10*$F38*$G38*$H38*$M38)</f>
        <v>0</v>
      </c>
      <c r="BO38" s="123">
        <v>1</v>
      </c>
      <c r="BP38" s="123">
        <f>(BO38/12*2*$E38*$G38*$H38*$M38)+(BO38/12*10*$F38*$G38*$H38*$M38)</f>
        <v>32712.920099999996</v>
      </c>
      <c r="BQ38" s="123"/>
      <c r="BR38" s="123">
        <f>(BQ38/12*2*$E38*$G38*$H38*$M38)+(BQ38/12*10*$F38*$G38*$H38*$M38)</f>
        <v>0</v>
      </c>
      <c r="BS38" s="123">
        <v>20</v>
      </c>
      <c r="BT38" s="123">
        <f>(BS38/12*2*$E38*$G38*$H38*$N38)+(BS38/12*10*$F38*$G38*$H38*$N38)</f>
        <v>785110.08239999996</v>
      </c>
      <c r="BU38" s="123">
        <v>15</v>
      </c>
      <c r="BV38" s="123">
        <f>(BU38/12*2*$E38*$G38*$H38*$M38)+(BU38/12*10*$F38*$G38*$H38*$M38)</f>
        <v>490693.80149999994</v>
      </c>
      <c r="BW38" s="123"/>
      <c r="BX38" s="123">
        <f>(BW38/12*2*$E38*$G38*$H38*$M38)+(BW38/12*10*$F38*$G38*$H38*$M38)</f>
        <v>0</v>
      </c>
      <c r="BY38" s="123">
        <v>28</v>
      </c>
      <c r="BZ38" s="123">
        <f>(BY38/12*2*$E38*$G38*$H38*$M38)+(BY38/12*10*$F38*$G38*$H38*$M38)</f>
        <v>915961.76280000014</v>
      </c>
      <c r="CA38" s="123">
        <v>14</v>
      </c>
      <c r="CB38" s="123">
        <f>(CA38/12*2*$E38*$G38*$H38*$M38)+(CA38/12*10*$F38*$G38*$H38*$M38)</f>
        <v>457980.88140000007</v>
      </c>
      <c r="CC38" s="123">
        <v>2</v>
      </c>
      <c r="CD38" s="123">
        <f>(CC38/12*2*$E38*$G38*$H38*$M38)+(CC38/12*10*$F38*$G38*$H38*$M38)</f>
        <v>65425.840199999991</v>
      </c>
      <c r="CE38" s="123">
        <v>20</v>
      </c>
      <c r="CF38" s="123">
        <f>(CE38/12*10*$F38*$G38*$H38*$N38)</f>
        <v>659495.34</v>
      </c>
      <c r="CG38" s="132">
        <v>16</v>
      </c>
      <c r="CH38" s="123">
        <f>(CG38/12*2*$E38*$G38*$H38*$N38)+(CG38/12*10*$F38*$G38*$H38*$N38)</f>
        <v>628088.06591999985</v>
      </c>
      <c r="CI38" s="123"/>
      <c r="CJ38" s="127">
        <f>(CI38*$E38*$G38*$H38*$N38)</f>
        <v>0</v>
      </c>
      <c r="CK38" s="123"/>
      <c r="CL38" s="123">
        <f>(CK38/12*2*$E38*$G38*$H38*$N38)+(CK38/12*10*$F38*$G38*$H38*$N38)</f>
        <v>0</v>
      </c>
      <c r="CM38" s="130"/>
      <c r="CN38" s="123">
        <f>(CM38/12*2*$E38*$G38*$H38*$N38)+(CM38/12*10*$F38*$G38*$H38*$N38)</f>
        <v>0</v>
      </c>
      <c r="CO38" s="123">
        <v>17</v>
      </c>
      <c r="CP38" s="123">
        <v>28263.32</v>
      </c>
      <c r="CQ38" s="123">
        <v>2</v>
      </c>
      <c r="CR38" s="123">
        <f>(CQ38/12*2*$E38*$G38*$H38*$O38)+(CQ38/12*10*$F38*$G38*$H38*$O38)</f>
        <v>104214.01689</v>
      </c>
      <c r="CS38" s="123">
        <v>4</v>
      </c>
      <c r="CT38" s="127">
        <f>(CS38/12*2*$E38*$G38*$H38*$P38)+(CS38/12*10*$F38*$G38*$H38*$P38)</f>
        <v>240206.29901999995</v>
      </c>
      <c r="CU38" s="127"/>
      <c r="CV38" s="127"/>
      <c r="CW38" s="126">
        <f>SUM(Q38,S38,U38,W38,Y38,AA38,AC38,AE38,AG38,AM38,BQ38,AI38,AU38,CC38,AW38,AY38,AK38,BC38,AO38,AQ38,BE38,CE38,BG38,BI38,BK38,BS38,BM38,BO38,BU38,BW38,BY38,CA38,CG38,BA38,AS38,CI38,CK38,CM38,CO38,CQ38,CS38,CU38)</f>
        <v>721</v>
      </c>
      <c r="CX38" s="126">
        <f>SUM(R38,T38,V38,X38,Z38,AB38,AD38,AF38,AH38,AN38,BR38,AJ38,AV38,CD38,AX38,AZ38,AL38,BD38,AP38,AR38,BF38,CF38,BH38,BJ38,BL38,BT38,BN38,BP38,BV38,BX38,BZ38,CB38,CH38,BB38,AT38,CJ38,CL38,CN38,CP38,CR38,CT38,CV38)</f>
        <v>25155314.686690003</v>
      </c>
    </row>
    <row r="39" spans="1:102" ht="22.5" customHeight="1" x14ac:dyDescent="0.25">
      <c r="A39" s="91"/>
      <c r="B39" s="116">
        <v>22</v>
      </c>
      <c r="C39" s="117" t="s">
        <v>166</v>
      </c>
      <c r="D39" s="118" t="s">
        <v>167</v>
      </c>
      <c r="E39" s="95">
        <v>28004</v>
      </c>
      <c r="F39" s="96">
        <v>29405</v>
      </c>
      <c r="G39" s="119">
        <v>2.0099999999999998</v>
      </c>
      <c r="H39" s="107">
        <v>1</v>
      </c>
      <c r="I39" s="108"/>
      <c r="J39" s="108"/>
      <c r="K39" s="108"/>
      <c r="L39" s="63"/>
      <c r="M39" s="120">
        <v>1.4</v>
      </c>
      <c r="N39" s="120">
        <v>1.68</v>
      </c>
      <c r="O39" s="120">
        <v>2.23</v>
      </c>
      <c r="P39" s="121">
        <v>2.57</v>
      </c>
      <c r="Q39" s="122">
        <v>170</v>
      </c>
      <c r="R39" s="123">
        <f>(Q39/12*2*$E39*$G39*$H39*$M39*$R$11)+(Q39/12*10*$F39*$G39*$H39*$M39*$R$11)</f>
        <v>15350568.386999996</v>
      </c>
      <c r="S39" s="124">
        <v>3</v>
      </c>
      <c r="T39" s="125">
        <f>(S39/12*2*$E39*$G39*$H39*$M39*$R$11)+(S39/12*10*$F39*$G39*$H39*$M39*$R$11)</f>
        <v>270892.38329999999</v>
      </c>
      <c r="U39" s="123">
        <v>74</v>
      </c>
      <c r="V39" s="123">
        <f>(U39/12*2*$E39*$G39*$H39*$M39*$V$11)+(U39/12*10*$F39*$G39*$H39*$M39*$V$12)</f>
        <v>8147193.5880999994</v>
      </c>
      <c r="W39" s="123"/>
      <c r="X39" s="126">
        <f>(W39/12*2*$E39*$G39*$H39*$M39*$X$11)+(W39/12*10*$F39*$G39*$H39*$M39*$X$12)</f>
        <v>0</v>
      </c>
      <c r="Y39" s="123"/>
      <c r="Z39" s="123">
        <f>(Y39/12*2*$E39*$G39*$H39*$M39*$Z$11)+(Y39/12*10*$F39*$G39*$H39*$M39*$Z$12)</f>
        <v>0</v>
      </c>
      <c r="AA39" s="123"/>
      <c r="AB39" s="123">
        <f>(AA39/12*2*$E39*$G39*$H39*$M39*$AB$11)+(AA39/12*10*$F39*$G39*$H39*$M39*$AB$11)</f>
        <v>0</v>
      </c>
      <c r="AC39" s="123"/>
      <c r="AD39" s="123"/>
      <c r="AE39" s="123">
        <v>40</v>
      </c>
      <c r="AF39" s="127">
        <f>(AE39/12*2*$E39*$G39*$H39*$M39*$AF$11)+(AE39/12*10*$F39*$G39*$H39*$M39*$AF$11)</f>
        <v>3611898.4440000001</v>
      </c>
      <c r="AG39" s="123">
        <v>3</v>
      </c>
      <c r="AH39" s="126">
        <f>(AG39/12*2*$E39*$G39*$H39*$M39*$AH$11)+(AG39/12*10*$F39*$G39*$H39*$M39*$AH$11)</f>
        <v>270892.38329999999</v>
      </c>
      <c r="AI39" s="130">
        <v>19</v>
      </c>
      <c r="AJ39" s="123">
        <f t="shared" ref="AJ39:AJ42" si="15">(AI39/12*2*$E39*$G39*$H39*$M39*$AJ$11)+(AI39/12*5*$F39*$G39*$H39*$M39*$AJ$12)+(AI39/12*5*$F39*$G39*$H39*$M39*$AJ$13)</f>
        <v>2014487.0469499994</v>
      </c>
      <c r="AK39" s="123">
        <f>17-8</f>
        <v>9</v>
      </c>
      <c r="AL39" s="123">
        <f t="shared" ref="AL39:AL42" si="16">(AK39/12*2*$E39*$G39*$H39*$N39*$AL$11)+(AK39/12*5*$F39*$G39*$H39*$N39*$AL$12)++(AK39/12*5*$F39*$G39*$H39*$N39*$AL$13)</f>
        <v>1145076.8477399999</v>
      </c>
      <c r="AM39" s="132"/>
      <c r="AN39" s="123">
        <f>(AM39/12*2*$E39*$G39*$H39*$N39*$AN$11)+(AM39/12*10*$F39*$G39*$H39*$N39*$AN$12)</f>
        <v>0</v>
      </c>
      <c r="AO39" s="130"/>
      <c r="AP39" s="127">
        <f>(AO39/12*2*$E39*$G39*$H39*$N39*$AP$11)+(AO39/12*10*$F39*$G39*$H39*$N39*$AP$11)</f>
        <v>0</v>
      </c>
      <c r="AQ39" s="127">
        <v>0</v>
      </c>
      <c r="AR39" s="127">
        <v>0</v>
      </c>
      <c r="AS39" s="123"/>
      <c r="AT39" s="123">
        <f>(AS39/12*2*$E39*$G39*$H39*$M39*$AT$11)+(AS39/12*10*$F39*$G39*$H39*$M39*$AT$11)</f>
        <v>0</v>
      </c>
      <c r="AU39" s="123"/>
      <c r="AV39" s="126">
        <f>(AU39/12*2*$E39*$G39*$H39*$M39*$AV$11)+(AU39/12*10*$F39*$G39*$H39*$M39*$AV$12)</f>
        <v>0</v>
      </c>
      <c r="AW39" s="123">
        <v>2</v>
      </c>
      <c r="AX39" s="123">
        <f>(AW39/12*2*$E39*$G39*$H39*$M39*$AX$11)+(AW39/12*10*$F39*$G39*$H39*$M39*$AX$12)</f>
        <v>188738.07539999994</v>
      </c>
      <c r="AY39" s="123">
        <v>26</v>
      </c>
      <c r="AZ39" s="123">
        <f>(AY39/12*2*$E39*$G39*$H39*$N39*$AZ$11)+(AY39/12*10*$F39*$G39*$H39*$N39*$AZ$11)</f>
        <v>2817280.7863199995</v>
      </c>
      <c r="BA39" s="123">
        <v>7</v>
      </c>
      <c r="BB39" s="123">
        <f>(BA39/12*2*$E39*$G39*$H39*$N39*$BB$11)+(BA39/12*10*$F39*$G39*$H39*$N39*$BB$12)</f>
        <v>666375.46079999988</v>
      </c>
      <c r="BC39" s="123"/>
      <c r="BD39" s="126">
        <f>(BC39/12*2*$E39*$G39*$H39*$N39*$BD$11)+(BC39/12*10*$F39*$G39*$H39*$N39*$BD$12)</f>
        <v>0</v>
      </c>
      <c r="BE39" s="140">
        <v>2</v>
      </c>
      <c r="BF39" s="123">
        <f>(BE39/12*10*$F39*$G39*$H39*$N39*$BF$12)</f>
        <v>165491.33999999997</v>
      </c>
      <c r="BG39" s="123">
        <v>2</v>
      </c>
      <c r="BH39" s="123">
        <f>(BG39/12*2*$E39*$G39*$H39*$N39*$BH$11)+(BG39/12*10*$F39*$G39*$H39*$N39*$BH$11)</f>
        <v>177311.37815999996</v>
      </c>
      <c r="BI39" s="123"/>
      <c r="BJ39" s="126">
        <f>(BI39/12*2*$E39*$G39*$H39*$N39*$BJ$11)+(BI39/12*10*$F39*$G39*$H39*$N39*$BJ$11)</f>
        <v>0</v>
      </c>
      <c r="BK39" s="123">
        <v>5</v>
      </c>
      <c r="BL39" s="127">
        <f>(BK39/12*2*$E39*$G39*$H39*$N39*$BL$11)+(BK39/12*10*$F39*$G39*$H39*$N39*$BL$11)</f>
        <v>591037.92719999992</v>
      </c>
      <c r="BM39" s="123"/>
      <c r="BN39" s="123">
        <f>(BM39/12*2*$E39*$G39*$H39*$M39*$BN$11)+(BM39/12*10*$F39*$G39*$H39*$M39*$BN$11)</f>
        <v>0</v>
      </c>
      <c r="BO39" s="123"/>
      <c r="BP39" s="123">
        <f>(BO39/12*2*$E39*$G39*$H39*$M39*$BP$11)+(BO39/12*10*$F39*$G39*$H39*$M39*$BP$12)</f>
        <v>0</v>
      </c>
      <c r="BQ39" s="123"/>
      <c r="BR39" s="123">
        <f>(BQ39/12*2*$E39*$G39*$H39*$M39*$BR$11)+(BQ39/12*10*$F39*$G39*$H39*$M39*$BR$11)</f>
        <v>0</v>
      </c>
      <c r="BS39" s="123"/>
      <c r="BT39" s="123">
        <f>(BS39/12*2*$E39*$G39*$H39*$N39*$BT$11)+(BS39/12*10*$F39*$G39*$H39*$N39*$BT$11)</f>
        <v>0</v>
      </c>
      <c r="BU39" s="123">
        <v>5</v>
      </c>
      <c r="BV39" s="126">
        <f>(BU39/12*2*$E39*$G39*$H39*$M39*$BV$11)+(BU39/12*10*$F39*$G39*$H39*$M39*$BV$11)</f>
        <v>328354.40400000004</v>
      </c>
      <c r="BW39" s="123"/>
      <c r="BX39" s="123">
        <f>(BW39/12*2*$E39*$G39*$H39*$M39*$BX$11)+(BW39/12*10*$F39*$G39*$H39*$M39*$BX$11)</f>
        <v>0</v>
      </c>
      <c r="BY39" s="123">
        <v>18</v>
      </c>
      <c r="BZ39" s="123">
        <f>(BY39/12*2*$E39*$G39*$H39*$M39*$BZ$11)+(BY39/12*10*$F39*$G39*$H39*$M39*$BZ$11)</f>
        <v>1477594.8179999997</v>
      </c>
      <c r="CA39" s="123">
        <v>1</v>
      </c>
      <c r="CB39" s="123">
        <f>(CA39/12*2*$E39*$G39*$H39*$M39*$CB$11)+(CA39/12*10*$F39*$G39*$H39*$M39*$CB$11)</f>
        <v>98506.321199999977</v>
      </c>
      <c r="CC39" s="123"/>
      <c r="CD39" s="123">
        <f>(CC39/12*2*$E39*$G39*$H39*$M39*$CD$11)+(CC39/12*10*$F39*$G39*$H39*$M39*$CD$11)</f>
        <v>0</v>
      </c>
      <c r="CE39" s="123"/>
      <c r="CF39" s="123">
        <f>(CE39/12*10*$F39*$G39*$H39*$N39*$CF$11)</f>
        <v>0</v>
      </c>
      <c r="CG39" s="132">
        <v>15</v>
      </c>
      <c r="CH39" s="123">
        <f>(CG39/12*2*$E39*$G39*$H39*$N39*$CH$11)+(CG39/12*10*$F39*$G39*$H39*$N39*$CH$11)</f>
        <v>1329835.3361999998</v>
      </c>
      <c r="CI39" s="123"/>
      <c r="CJ39" s="127">
        <f>(CI39*$E39*$G39*$H39*$N39*CJ$11)</f>
        <v>0</v>
      </c>
      <c r="CK39" s="123"/>
      <c r="CL39" s="123">
        <f>(CK39/12*2*$E39*$G39*$H39*$N39*$CL$11)+(CK39/12*10*$F39*$G39*$H39*$N39*$CL$12)</f>
        <v>0</v>
      </c>
      <c r="CM39" s="130"/>
      <c r="CN39" s="123">
        <f>(CM39/12*2*$E39*$G39*$H39*$N39*$CN$11)+(CM39/12*10*$F39*$G39*$H39*$N39*$CN$11)</f>
        <v>0</v>
      </c>
      <c r="CO39" s="123">
        <v>0</v>
      </c>
      <c r="CP39" s="123">
        <v>0</v>
      </c>
      <c r="CQ39" s="123"/>
      <c r="CR39" s="123">
        <f>(CQ39/12*2*$E39*$G39*$H39*$O39*$CR$11)+(CQ39/12*10*$F39*$G39*$H39*$O39*$CR$11)</f>
        <v>0</v>
      </c>
      <c r="CS39" s="123">
        <v>1</v>
      </c>
      <c r="CT39" s="133">
        <f>(CS39/12*2*$E39*$G39*$H39*$P39*$CT$11)+(CS39/12*10*$F39*$G39*$H39*$P39*$CT$11)</f>
        <v>150691.21754999997</v>
      </c>
      <c r="CU39" s="127"/>
      <c r="CV39" s="127"/>
      <c r="CW39" s="126">
        <f t="shared" ref="CW39:CX43" si="17">SUM(Q39,S39,U39,W39,Y39,AA39,AC39,AE39,AG39,AM39,BQ39,AI39,AU39,CC39,AW39,AY39,AK39,BC39,AO39,AQ39,BE39,CE39,BG39,BI39,BK39,BS39,BM39,BO39,BU39,BW39,BY39,CA39,CG39,BA39,AS39,CI39,CK39,CM39,CO39,CQ39,CS39,CU39)</f>
        <v>402</v>
      </c>
      <c r="CX39" s="126">
        <f t="shared" si="17"/>
        <v>38802226.145219982</v>
      </c>
    </row>
    <row r="40" spans="1:102" ht="22.5" customHeight="1" x14ac:dyDescent="0.25">
      <c r="A40" s="91"/>
      <c r="B40" s="116">
        <v>23</v>
      </c>
      <c r="C40" s="117" t="s">
        <v>168</v>
      </c>
      <c r="D40" s="118" t="s">
        <v>169</v>
      </c>
      <c r="E40" s="95">
        <v>28004</v>
      </c>
      <c r="F40" s="96">
        <v>29405</v>
      </c>
      <c r="G40" s="119">
        <v>0.86</v>
      </c>
      <c r="H40" s="107">
        <v>1</v>
      </c>
      <c r="I40" s="108"/>
      <c r="J40" s="108"/>
      <c r="K40" s="108"/>
      <c r="L40" s="63"/>
      <c r="M40" s="120">
        <v>1.4</v>
      </c>
      <c r="N40" s="120">
        <v>1.68</v>
      </c>
      <c r="O40" s="120">
        <v>2.23</v>
      </c>
      <c r="P40" s="121">
        <v>2.57</v>
      </c>
      <c r="Q40" s="122">
        <v>9</v>
      </c>
      <c r="R40" s="123">
        <f>(Q40/12*2*$E40*$G40*$H40*$M40*$R$11)+(Q40/12*10*$F40*$G40*$H40*$M40*$R$11)</f>
        <v>347712.61139999999</v>
      </c>
      <c r="S40" s="124">
        <v>3</v>
      </c>
      <c r="T40" s="125">
        <f>(S40/12*2*$E40*$G40*$H40*$M40*$R$11)+(S40/12*10*$F40*$G40*$H40*$M40*$R$11)</f>
        <v>115904.2038</v>
      </c>
      <c r="U40" s="123">
        <f>6+3</f>
        <v>9</v>
      </c>
      <c r="V40" s="123">
        <f>(U40/12*2*$E40*$G40*$H40*$M40*$V$11)+(U40/12*10*$F40*$G40*$H40*$M40*$V$12)</f>
        <v>423956.42309999996</v>
      </c>
      <c r="W40" s="123"/>
      <c r="X40" s="126">
        <f>(W40/12*2*$E40*$G40*$H40*$M40*$X$11)+(W40/12*10*$F40*$G40*$H40*$M40*$X$12)</f>
        <v>0</v>
      </c>
      <c r="Y40" s="123"/>
      <c r="Z40" s="123">
        <f>(Y40/12*2*$E40*$G40*$H40*$M40*$Z$11)+(Y40/12*10*$F40*$G40*$H40*$M40*$Z$12)</f>
        <v>0</v>
      </c>
      <c r="AA40" s="123"/>
      <c r="AB40" s="123">
        <f>(AA40/12*2*$E40*$G40*$H40*$M40*$AB$11)+(AA40/12*10*$F40*$G40*$H40*$M40*$AB$11)</f>
        <v>0</v>
      </c>
      <c r="AC40" s="123"/>
      <c r="AD40" s="123"/>
      <c r="AE40" s="123">
        <v>50</v>
      </c>
      <c r="AF40" s="127">
        <f>(AE40/12*2*$E40*$G40*$H40*$M40*$AF$11)+(AE40/12*10*$F40*$G40*$H40*$M40*$AF$11)</f>
        <v>1931736.73</v>
      </c>
      <c r="AG40" s="123">
        <v>40</v>
      </c>
      <c r="AH40" s="126">
        <f>(AG40/12*2*$E40*$G40*$H40*$M40*$AH$11)+(AG40/12*10*$F40*$G40*$H40*$M40*$AH$11)</f>
        <v>1545389.3840000003</v>
      </c>
      <c r="AI40" s="130">
        <v>15</v>
      </c>
      <c r="AJ40" s="123">
        <f t="shared" si="15"/>
        <v>680463.02450000006</v>
      </c>
      <c r="AK40" s="123">
        <v>16</v>
      </c>
      <c r="AL40" s="123">
        <f t="shared" si="16"/>
        <v>870992.67135999992</v>
      </c>
      <c r="AM40" s="132"/>
      <c r="AN40" s="123">
        <f>(AM40/12*2*$E40*$G40*$H40*$N40*$AN$11)+(AM40/12*10*$F40*$G40*$H40*$N40*$AN$12)</f>
        <v>0</v>
      </c>
      <c r="AO40" s="130"/>
      <c r="AP40" s="127">
        <f>(AO40/12*2*$E40*$G40*$H40*$N40*$AP$11)+(AO40/12*10*$F40*$G40*$H40*$N40*$AP$11)</f>
        <v>0</v>
      </c>
      <c r="AQ40" s="127">
        <v>1</v>
      </c>
      <c r="AR40" s="127">
        <v>44506.2</v>
      </c>
      <c r="AS40" s="123"/>
      <c r="AT40" s="123">
        <f>(AS40/12*2*$E40*$G40*$H40*$M40*$AT$11)+(AS40/12*10*$F40*$G40*$H40*$M40*$AT$11)</f>
        <v>0</v>
      </c>
      <c r="AU40" s="123"/>
      <c r="AV40" s="126">
        <f>(AU40/12*2*$E40*$G40*$H40*$M40*$AV$11)+(AU40/12*10*$F40*$G40*$H40*$M40*$AV$12)</f>
        <v>0</v>
      </c>
      <c r="AW40" s="123">
        <v>7</v>
      </c>
      <c r="AX40" s="123">
        <f>(AW40/12*2*$E40*$G40*$H40*$M40*$AX$11)+(AW40/12*10*$F40*$G40*$H40*$M40*$AX$12)</f>
        <v>282637.61539999995</v>
      </c>
      <c r="AY40" s="123">
        <v>48</v>
      </c>
      <c r="AZ40" s="123">
        <f>(AY40/12*2*$E40*$G40*$H40*$N40*$AZ$11)+(AY40/12*10*$F40*$G40*$H40*$N40*$AZ$11)</f>
        <v>2225360.7129600001</v>
      </c>
      <c r="BA40" s="123"/>
      <c r="BB40" s="123">
        <f>(BA40/12*2*$E40*$G40*$H40*$N40*$BB$11)+(BA40/12*10*$F40*$G40*$H40*$N40*$BB$12)</f>
        <v>0</v>
      </c>
      <c r="BC40" s="123"/>
      <c r="BD40" s="126">
        <f>(BC40/12*2*$E40*$G40*$H40*$N40*$BD$11)+(BC40/12*10*$F40*$G40*$H40*$N40*$BD$12)</f>
        <v>0</v>
      </c>
      <c r="BE40" s="140">
        <v>4</v>
      </c>
      <c r="BF40" s="123">
        <f>(BE40/12*10*$F40*$G40*$H40*$N40*$BF$12)</f>
        <v>141614.47999999998</v>
      </c>
      <c r="BG40" s="123">
        <v>5</v>
      </c>
      <c r="BH40" s="123">
        <f>(BG40/12*2*$E40*$G40*$H40*$N40*$BH$11)+(BG40/12*10*$F40*$G40*$H40*$N40*$BH$11)</f>
        <v>189661.42440000002</v>
      </c>
      <c r="BI40" s="123">
        <v>14</v>
      </c>
      <c r="BJ40" s="126">
        <f>(BI40/12*2*$E40*$G40*$H40*$N40*$BJ$11)+(BI40/12*10*$F40*$G40*$H40*$N40*$BJ$11)</f>
        <v>708069.31776000001</v>
      </c>
      <c r="BK40" s="123">
        <v>8</v>
      </c>
      <c r="BL40" s="127">
        <f>(BK40/12*2*$E40*$G40*$H40*$N40*$BL$11)+(BK40/12*10*$F40*$G40*$H40*$N40*$BL$11)</f>
        <v>404611.03871999989</v>
      </c>
      <c r="BM40" s="123"/>
      <c r="BN40" s="123">
        <f>(BM40/12*2*$E40*$G40*$H40*$M40*$BN$11)+(BM40/12*10*$F40*$G40*$H40*$M40*$BN$11)</f>
        <v>0</v>
      </c>
      <c r="BO40" s="123"/>
      <c r="BP40" s="123">
        <f>(BO40/12*2*$E40*$G40*$H40*$M40*$BP$11)+(BO40/12*10*$F40*$G40*$H40*$M40*$BP$12)</f>
        <v>0</v>
      </c>
      <c r="BQ40" s="123"/>
      <c r="BR40" s="123">
        <f>(BQ40/12*2*$E40*$G40*$H40*$M40*$BR$11)+(BQ40/12*10*$F40*$G40*$H40*$M40*$BR$11)</f>
        <v>0</v>
      </c>
      <c r="BS40" s="123">
        <v>10</v>
      </c>
      <c r="BT40" s="123">
        <f>(BS40/12*2*$E40*$G40*$H40*$N40*$BT$11)+(BS40/12*10*$F40*$G40*$H40*$N40*$BT$11)</f>
        <v>421469.83199999999</v>
      </c>
      <c r="BU40" s="123"/>
      <c r="BV40" s="126">
        <f>(BU40/12*2*$E40*$G40*$H40*$M40*$BV$11)+(BU40/12*10*$F40*$G40*$H40*$M40*$BV$11)</f>
        <v>0</v>
      </c>
      <c r="BW40" s="123"/>
      <c r="BX40" s="123">
        <f>(BW40/12*2*$E40*$G40*$H40*$M40*$BX$11)+(BW40/12*10*$F40*$G40*$H40*$M40*$BX$11)</f>
        <v>0</v>
      </c>
      <c r="BY40" s="123">
        <v>12</v>
      </c>
      <c r="BZ40" s="123">
        <f>(BY40/12*2*$E40*$G40*$H40*$M40*$BZ$11)+(BY40/12*10*$F40*$G40*$H40*$M40*$BZ$11)</f>
        <v>421469.83199999994</v>
      </c>
      <c r="CA40" s="123">
        <v>9</v>
      </c>
      <c r="CB40" s="123">
        <f>(CA40/12*2*$E40*$G40*$H40*$M40*$CB$11)+(CA40/12*10*$F40*$G40*$H40*$M40*$CB$11)</f>
        <v>379322.84879999992</v>
      </c>
      <c r="CC40" s="123"/>
      <c r="CD40" s="123">
        <f>(CC40/12*2*$E40*$G40*$H40*$M40*$CD$11)+(CC40/12*10*$F40*$G40*$H40*$M40*$CD$11)</f>
        <v>0</v>
      </c>
      <c r="CE40" s="123">
        <v>5</v>
      </c>
      <c r="CF40" s="123">
        <f>(CE40/12*10*$F40*$G40*$H40*$N40*$CF$11)</f>
        <v>177018.1</v>
      </c>
      <c r="CG40" s="132">
        <v>20</v>
      </c>
      <c r="CH40" s="123">
        <f>(CG40/12*2*$E40*$G40*$H40*$N40*$CH$11)+(CG40/12*10*$F40*$G40*$H40*$N40*$CH$11)</f>
        <v>758645.69760000007</v>
      </c>
      <c r="CI40" s="123"/>
      <c r="CJ40" s="127">
        <f>(CI40*$E40*$G40*$H40*$N40*CJ$11)</f>
        <v>0</v>
      </c>
      <c r="CK40" s="123"/>
      <c r="CL40" s="123">
        <f>(CK40/12*2*$E40*$G40*$H40*$N40*$CL$11)+(CK40/12*10*$F40*$G40*$H40*$N40*$CL$12)</f>
        <v>0</v>
      </c>
      <c r="CM40" s="130">
        <v>2</v>
      </c>
      <c r="CN40" s="123">
        <f>(CM40/12*2*$E40*$G40*$H40*$N40*$CN$11)+(CM40/12*10*$F40*$G40*$H40*$N40*$CN$11)</f>
        <v>84293.96639999999</v>
      </c>
      <c r="CO40" s="123">
        <v>25</v>
      </c>
      <c r="CP40" s="123">
        <v>105198.76999999999</v>
      </c>
      <c r="CQ40" s="123">
        <v>4</v>
      </c>
      <c r="CR40" s="123">
        <f>(CQ40/12*2*$E40*$G40*$H40*$O40*$CR$11)+(CQ40/12*10*$F40*$G40*$H40*$O40*$CR$11)</f>
        <v>223780.41079999998</v>
      </c>
      <c r="CS40" s="123">
        <v>5</v>
      </c>
      <c r="CT40" s="133">
        <f>(CS40/12*2*$E40*$G40*$H40*$P40*$CT$11)+(CS40/12*10*$F40*$G40*$H40*$P40*$CT$11)</f>
        <v>322374.24650000001</v>
      </c>
      <c r="CU40" s="127"/>
      <c r="CV40" s="127"/>
      <c r="CW40" s="126">
        <f t="shared" si="17"/>
        <v>321</v>
      </c>
      <c r="CX40" s="126">
        <f t="shared" si="17"/>
        <v>12806189.5415</v>
      </c>
    </row>
    <row r="41" spans="1:102" ht="22.5" customHeight="1" x14ac:dyDescent="0.25">
      <c r="A41" s="91"/>
      <c r="B41" s="116">
        <v>24</v>
      </c>
      <c r="C41" s="117" t="s">
        <v>170</v>
      </c>
      <c r="D41" s="118" t="s">
        <v>171</v>
      </c>
      <c r="E41" s="95">
        <v>28004</v>
      </c>
      <c r="F41" s="96">
        <v>29405</v>
      </c>
      <c r="G41" s="119">
        <v>1.21</v>
      </c>
      <c r="H41" s="107">
        <v>1</v>
      </c>
      <c r="I41" s="108"/>
      <c r="J41" s="108"/>
      <c r="K41" s="108"/>
      <c r="L41" s="63"/>
      <c r="M41" s="120">
        <v>1.4</v>
      </c>
      <c r="N41" s="120">
        <v>1.68</v>
      </c>
      <c r="O41" s="120">
        <v>2.23</v>
      </c>
      <c r="P41" s="121">
        <v>2.57</v>
      </c>
      <c r="Q41" s="122">
        <v>230</v>
      </c>
      <c r="R41" s="123">
        <f>(Q41/12*2*$E41*$G41*$H41*$M41*$R$11)+(Q41/12*10*$F41*$G41*$H41*$M41*$R$11)</f>
        <v>12502379.812999999</v>
      </c>
      <c r="S41" s="124">
        <v>3</v>
      </c>
      <c r="T41" s="125">
        <f>(S41/12*2*$E41*$G41*$H41*$M41*$R$11)+(S41/12*10*$F41*$G41*$H41*$M41*$R$11)</f>
        <v>163074.51929999999</v>
      </c>
      <c r="U41" s="123">
        <v>9</v>
      </c>
      <c r="V41" s="123">
        <f>(U41/12*2*$E41*$G41*$H41*$M41*$V$11)+(U41/12*10*$F41*$G41*$H41*$M41*$V$12)</f>
        <v>596496.82785</v>
      </c>
      <c r="W41" s="123"/>
      <c r="X41" s="126">
        <f>(W41/12*2*$E41*$G41*$H41*$M41*$X$11)+(W41/12*10*$F41*$G41*$H41*$M41*$X$12)</f>
        <v>0</v>
      </c>
      <c r="Y41" s="123"/>
      <c r="Z41" s="123">
        <f>(Y41/12*2*$E41*$G41*$H41*$M41*$Z$11)+(Y41/12*10*$F41*$G41*$H41*$M41*$Z$12)</f>
        <v>0</v>
      </c>
      <c r="AA41" s="123"/>
      <c r="AB41" s="123">
        <f>(AA41/12*2*$E41*$G41*$H41*$M41*$AB$11)+(AA41/12*10*$F41*$G41*$H41*$M41*$AB$11)</f>
        <v>0</v>
      </c>
      <c r="AC41" s="123"/>
      <c r="AD41" s="123"/>
      <c r="AE41" s="123">
        <v>81</v>
      </c>
      <c r="AF41" s="127">
        <f>(AE41/12*2*$E41*$G41*$H41*$M41*$AF$11)+(AE41/12*10*$F41*$G41*$H41*$M41*$AF$11)</f>
        <v>4403012.0210999995</v>
      </c>
      <c r="AG41" s="123">
        <f>85+20</f>
        <v>105</v>
      </c>
      <c r="AH41" s="126">
        <f>(AG41/12*2*$E41*$G41*$H41*$M41*$AH$11)+(AG41/12*10*$F41*$G41*$H41*$M41*$AH$11)</f>
        <v>5707608.1755000008</v>
      </c>
      <c r="AI41" s="130">
        <v>99</v>
      </c>
      <c r="AJ41" s="123">
        <f t="shared" si="15"/>
        <v>6318811.29495</v>
      </c>
      <c r="AK41" s="123">
        <f>41+26</f>
        <v>67</v>
      </c>
      <c r="AL41" s="123">
        <f t="shared" si="16"/>
        <v>5131640.6880199993</v>
      </c>
      <c r="AM41" s="132">
        <v>2</v>
      </c>
      <c r="AN41" s="123">
        <f>(AM41/12*2*$E41*$G41*$H41*$N41*$AN$11)+(AM41/12*10*$F41*$G41*$H41*$N41*$AN$12)</f>
        <v>159065.82075999997</v>
      </c>
      <c r="AO41" s="130"/>
      <c r="AP41" s="127">
        <f>(AO41/12*2*$E41*$G41*$H41*$N41*$AP$11)+(AO41/12*10*$F41*$G41*$H41*$N41*$AP$11)</f>
        <v>0</v>
      </c>
      <c r="AQ41" s="127">
        <v>2</v>
      </c>
      <c r="AR41" s="127">
        <v>128371.10999999999</v>
      </c>
      <c r="AS41" s="123"/>
      <c r="AT41" s="123">
        <f>(AS41/12*2*$E41*$G41*$H41*$M41*$AT$11)+(AS41/12*10*$F41*$G41*$H41*$M41*$AT$11)</f>
        <v>0</v>
      </c>
      <c r="AU41" s="123"/>
      <c r="AV41" s="126">
        <f>(AU41/12*2*$E41*$G41*$H41*$M41*$AV$11)+(AU41/12*10*$F41*$G41*$H41*$M41*$AV$12)</f>
        <v>0</v>
      </c>
      <c r="AW41" s="123"/>
      <c r="AX41" s="123">
        <f>(AW41/12*2*$E41*$G41*$H41*$M41*$AX$11)+(AW41/12*10*$F41*$G41*$H41*$M41*$AX$12)</f>
        <v>0</v>
      </c>
      <c r="AY41" s="123">
        <v>121</v>
      </c>
      <c r="AZ41" s="123">
        <f>(AY41/12*2*$E41*$G41*$H41*$N41*$AZ$11)+(AY41/12*10*$F41*$G41*$H41*$N41*$AZ$11)</f>
        <v>7892806.7341200011</v>
      </c>
      <c r="BA41" s="123"/>
      <c r="BB41" s="123">
        <f>(BA41/12*2*$E41*$G41*$H41*$N41*$BB$11)+(BA41/12*10*$F41*$G41*$H41*$N41*$BB$12)</f>
        <v>0</v>
      </c>
      <c r="BC41" s="123"/>
      <c r="BD41" s="126">
        <f>(BC41/12*2*$E41*$G41*$H41*$N41*$BD$11)+(BC41/12*10*$F41*$G41*$H41*$N41*$BD$12)</f>
        <v>0</v>
      </c>
      <c r="BE41" s="140">
        <v>50</v>
      </c>
      <c r="BF41" s="123">
        <f>(BE41/12*10*$F41*$G41*$H41*$N41*$BF$12)</f>
        <v>2490603.5</v>
      </c>
      <c r="BG41" s="123">
        <v>14</v>
      </c>
      <c r="BH41" s="123">
        <f>(BG41/12*2*$E41*$G41*$H41*$N41*$BH$11)+(BG41/12*10*$F41*$G41*$H41*$N41*$BH$11)</f>
        <v>747177.79752000002</v>
      </c>
      <c r="BI41" s="123">
        <v>23</v>
      </c>
      <c r="BJ41" s="126">
        <f>(BI41/12*2*$E41*$G41*$H41*$N41*$BJ$11)+(BI41/12*10*$F41*$G41*$H41*$N41*$BJ$11)</f>
        <v>1636675.17552</v>
      </c>
      <c r="BK41" s="123">
        <v>22</v>
      </c>
      <c r="BL41" s="127">
        <f>(BK41/12*2*$E41*$G41*$H41*$N41*$BL$11)+(BK41/12*10*$F41*$G41*$H41*$N41*$BL$11)</f>
        <v>1565515.3852799998</v>
      </c>
      <c r="BM41" s="123"/>
      <c r="BN41" s="123">
        <f>(BM41/12*2*$E41*$G41*$H41*$M41*$BN$11)+(BM41/12*10*$F41*$G41*$H41*$M41*$BN$11)</f>
        <v>0</v>
      </c>
      <c r="BO41" s="123"/>
      <c r="BP41" s="123">
        <f>(BO41/12*2*$E41*$G41*$H41*$M41*$BP$11)+(BO41/12*10*$F41*$G41*$H41*$M41*$BP$12)</f>
        <v>0</v>
      </c>
      <c r="BQ41" s="123"/>
      <c r="BR41" s="123">
        <f>(BQ41/12*2*$E41*$G41*$H41*$M41*$BR$11)+(BQ41/12*10*$F41*$G41*$H41*$M41*$BR$11)</f>
        <v>0</v>
      </c>
      <c r="BS41" s="123">
        <v>10</v>
      </c>
      <c r="BT41" s="123">
        <f>(BS41/12*2*$E41*$G41*$H41*$N41*$BT$11)+(BS41/12*10*$F41*$G41*$H41*$N41*$BT$11)</f>
        <v>592998.25199999998</v>
      </c>
      <c r="BU41" s="123"/>
      <c r="BV41" s="126">
        <f>(BU41/12*2*$E41*$G41*$H41*$M41*$BV$11)+(BU41/12*10*$F41*$G41*$H41*$M41*$BV$11)</f>
        <v>0</v>
      </c>
      <c r="BW41" s="123"/>
      <c r="BX41" s="123">
        <f>(BW41/12*2*$E41*$G41*$H41*$M41*$BX$11)+(BW41/12*10*$F41*$G41*$H41*$M41*$BX$11)</f>
        <v>0</v>
      </c>
      <c r="BY41" s="123">
        <v>8</v>
      </c>
      <c r="BZ41" s="123">
        <f>(BY41/12*2*$E41*$G41*$H41*$M41*$BZ$11)+(BY41/12*10*$F41*$G41*$H41*$M41*$BZ$11)</f>
        <v>395332.16799999995</v>
      </c>
      <c r="CA41" s="123">
        <v>16</v>
      </c>
      <c r="CB41" s="123">
        <f>(CA41/12*2*$E41*$G41*$H41*$M41*$CB$11)+(CA41/12*10*$F41*$G41*$H41*$M41*$CB$11)</f>
        <v>948797.20319999987</v>
      </c>
      <c r="CC41" s="123">
        <v>14</v>
      </c>
      <c r="CD41" s="123">
        <f>(CC41/12*2*$E41*$G41*$H41*$M41*$CD$11)+(CC41/12*10*$F41*$G41*$H41*$M41*$CD$11)</f>
        <v>691831.29399999999</v>
      </c>
      <c r="CE41" s="123">
        <v>5</v>
      </c>
      <c r="CF41" s="123">
        <f>(CE41/12*10*$F41*$G41*$H41*$N41*$CF$11)</f>
        <v>249060.35</v>
      </c>
      <c r="CG41" s="132">
        <v>15</v>
      </c>
      <c r="CH41" s="123">
        <f>(CG41/12*2*$E41*$G41*$H41*$N41*$CH$11)+(CG41/12*10*$F41*$G41*$H41*$N41*$CH$11)</f>
        <v>800547.64019999991</v>
      </c>
      <c r="CI41" s="123"/>
      <c r="CJ41" s="127">
        <f>(CI41*$E41*$G41*$H41*$N41*CJ$11)</f>
        <v>0</v>
      </c>
      <c r="CK41" s="123"/>
      <c r="CL41" s="123">
        <f>(CK41/12*2*$E41*$G41*$H41*$N41*$CL$11)+(CK41/12*10*$F41*$G41*$H41*$N41*$CL$12)</f>
        <v>0</v>
      </c>
      <c r="CM41" s="130"/>
      <c r="CN41" s="123">
        <f>(CM41/12*2*$E41*$G41*$H41*$N41*$CN$11)+(CM41/12*10*$F41*$G41*$H41*$N41*$CN$11)</f>
        <v>0</v>
      </c>
      <c r="CO41" s="123">
        <v>0</v>
      </c>
      <c r="CP41" s="123">
        <v>0</v>
      </c>
      <c r="CQ41" s="123"/>
      <c r="CR41" s="123">
        <f>(CQ41/12*2*$E41*$G41*$H41*$O41*$CR$11)+(CQ41/12*10*$F41*$G41*$H41*$O41*$CR$11)</f>
        <v>0</v>
      </c>
      <c r="CS41" s="123">
        <v>3</v>
      </c>
      <c r="CT41" s="133">
        <f>(CS41/12*2*$E41*$G41*$H41*$P41*$CT$11)+(CS41/12*10*$F41*$G41*$H41*$P41*$CT$11)</f>
        <v>272143.84064999997</v>
      </c>
      <c r="CU41" s="127"/>
      <c r="CV41" s="127"/>
      <c r="CW41" s="126">
        <f t="shared" si="17"/>
        <v>899</v>
      </c>
      <c r="CX41" s="126">
        <f t="shared" si="17"/>
        <v>53393949.61096999</v>
      </c>
    </row>
    <row r="42" spans="1:102" ht="22.5" customHeight="1" x14ac:dyDescent="0.25">
      <c r="A42" s="91"/>
      <c r="B42" s="116">
        <v>25</v>
      </c>
      <c r="C42" s="117" t="s">
        <v>172</v>
      </c>
      <c r="D42" s="118" t="s">
        <v>173</v>
      </c>
      <c r="E42" s="95">
        <v>28004</v>
      </c>
      <c r="F42" s="96">
        <v>29405</v>
      </c>
      <c r="G42" s="119">
        <v>0.87</v>
      </c>
      <c r="H42" s="107">
        <v>1</v>
      </c>
      <c r="I42" s="108"/>
      <c r="J42" s="108"/>
      <c r="K42" s="108"/>
      <c r="L42" s="63"/>
      <c r="M42" s="120">
        <v>1.4</v>
      </c>
      <c r="N42" s="120">
        <v>1.68</v>
      </c>
      <c r="O42" s="120">
        <v>2.23</v>
      </c>
      <c r="P42" s="121">
        <v>2.57</v>
      </c>
      <c r="Q42" s="122">
        <v>232</v>
      </c>
      <c r="R42" s="123">
        <f>(Q42/12*2*$E42*$G42*$H42*$M42*$R$11)+(Q42/12*10*$F42*$G42*$H42*$M42*$R$11)</f>
        <v>9067482.3623999991</v>
      </c>
      <c r="S42" s="124">
        <v>80</v>
      </c>
      <c r="T42" s="125">
        <f>(S42/12*2*$E42*$G42*$H42*$M42*$R$11)+(S42/12*10*$F42*$G42*$H42*$M42*$R$11)</f>
        <v>3126718.0560000003</v>
      </c>
      <c r="U42" s="123">
        <v>5</v>
      </c>
      <c r="V42" s="123">
        <f>(U42/12*2*$E42*$G42*$H42*$M42*$V$11)+(U42/12*10*$F42*$G42*$H42*$M42*$V$12)</f>
        <v>238270.08275000003</v>
      </c>
      <c r="W42" s="123"/>
      <c r="X42" s="126">
        <f>(W42/12*2*$E42*$G42*$H42*$M42*$X$11)+(W42/12*10*$F42*$G42*$H42*$M42*$X$12)</f>
        <v>0</v>
      </c>
      <c r="Y42" s="123"/>
      <c r="Z42" s="123">
        <f>(Y42/12*2*$E42*$G42*$H42*$M42*$Z$11)+(Y42/12*10*$F42*$G42*$H42*$M42*$Z$12)</f>
        <v>0</v>
      </c>
      <c r="AA42" s="123"/>
      <c r="AB42" s="123">
        <f>(AA42/12*2*$E42*$G42*$H42*$M42*$AB$11)+(AA42/12*10*$F42*$G42*$H42*$M42*$AB$11)</f>
        <v>0</v>
      </c>
      <c r="AC42" s="123"/>
      <c r="AD42" s="123"/>
      <c r="AE42" s="123">
        <v>126</v>
      </c>
      <c r="AF42" s="127">
        <f>(AE42/12*2*$E42*$G42*$H42*$M42*$AF$11)+(AE42/12*10*$F42*$G42*$H42*$M42*$AF$11)</f>
        <v>4924580.9382000007</v>
      </c>
      <c r="AG42" s="123">
        <v>160</v>
      </c>
      <c r="AH42" s="126">
        <f>(AG42/12*2*$E42*$G42*$H42*$M42*$AH$11)+(AG42/12*10*$F42*$G42*$H42*$M42*$AH$11)</f>
        <v>6253436.1120000007</v>
      </c>
      <c r="AI42" s="130">
        <v>292</v>
      </c>
      <c r="AJ42" s="123">
        <f t="shared" si="15"/>
        <v>13400374.166199997</v>
      </c>
      <c r="AK42" s="123">
        <f>428+8+26</f>
        <v>462</v>
      </c>
      <c r="AL42" s="123">
        <f t="shared" si="16"/>
        <v>25442354.238839999</v>
      </c>
      <c r="AM42" s="132"/>
      <c r="AN42" s="123">
        <f>(AM42/12*2*$E42*$G42*$H42*$N42*$AN$11)+(AM42/12*10*$F42*$G42*$H42*$N42*$AN$12)</f>
        <v>0</v>
      </c>
      <c r="AO42" s="130"/>
      <c r="AP42" s="127">
        <f>(AO42/12*2*$E42*$G42*$H42*$N42*$AP$11)+(AO42/12*10*$F42*$G42*$H42*$N42*$AP$11)</f>
        <v>0</v>
      </c>
      <c r="AQ42" s="127">
        <v>25</v>
      </c>
      <c r="AR42" s="127">
        <v>1129553.8500000006</v>
      </c>
      <c r="AS42" s="123"/>
      <c r="AT42" s="123">
        <f>(AS42/12*2*$E42*$G42*$H42*$M42*$AT$11)+(AS42/12*10*$F42*$G42*$H42*$M42*$AT$11)</f>
        <v>0</v>
      </c>
      <c r="AU42" s="123"/>
      <c r="AV42" s="126">
        <f>(AU42/12*2*$E42*$G42*$H42*$M42*$AV$11)+(AU42/12*10*$F42*$G42*$H42*$M42*$AV$12)</f>
        <v>0</v>
      </c>
      <c r="AW42" s="123">
        <v>60</v>
      </c>
      <c r="AX42" s="123">
        <f>(AW42/12*2*$E42*$G42*$H42*$M42*$AX$11)+(AW42/12*10*$F42*$G42*$H42*$M42*$AX$12)</f>
        <v>2450777.9939999999</v>
      </c>
      <c r="AY42" s="123">
        <v>390</v>
      </c>
      <c r="AZ42" s="123">
        <f>(AY42/12*2*$E42*$G42*$H42*$N42*$AZ$11)+(AY42/12*10*$F42*$G42*$H42*$N42*$AZ$11)</f>
        <v>18291300.627599999</v>
      </c>
      <c r="BA42" s="123"/>
      <c r="BB42" s="123">
        <f>(BA42/12*2*$E42*$G42*$H42*$N42*$BB$11)+(BA42/12*10*$F42*$G42*$H42*$N42*$BB$12)</f>
        <v>0</v>
      </c>
      <c r="BC42" s="123"/>
      <c r="BD42" s="126">
        <f>(BC42/12*2*$E42*$G42*$H42*$N42*$BD$11)+(BC42/12*10*$F42*$G42*$H42*$N42*$BD$12)</f>
        <v>0</v>
      </c>
      <c r="BE42" s="140">
        <v>50</v>
      </c>
      <c r="BF42" s="123">
        <f>(BE42/12*10*$F42*$G42*$H42*$N42*$BF$12)</f>
        <v>1790764.5000000002</v>
      </c>
      <c r="BG42" s="123">
        <v>42</v>
      </c>
      <c r="BH42" s="123">
        <f>(BG42/12*2*$E42*$G42*$H42*$N42*$BH$11)+(BG42/12*10*$F42*$G42*$H42*$N42*$BH$11)</f>
        <v>1611681.0343200001</v>
      </c>
      <c r="BI42" s="123">
        <v>44</v>
      </c>
      <c r="BJ42" s="126">
        <f>(BI42/12*2*$E42*$G42*$H42*$N42*$BJ$11)+(BI42/12*10*$F42*$G42*$H42*$N42*$BJ$11)</f>
        <v>2251237.0003199996</v>
      </c>
      <c r="BK42" s="123">
        <v>67</v>
      </c>
      <c r="BL42" s="127">
        <f>(BK42/12*2*$E42*$G42*$H42*$N42*$BL$11)+(BK42/12*10*$F42*$G42*$H42*$N42*$BL$11)</f>
        <v>3428019.9777599997</v>
      </c>
      <c r="BM42" s="123"/>
      <c r="BN42" s="123">
        <f>(BM42/12*2*$E42*$G42*$H42*$M42*$BN$11)+(BM42/12*10*$F42*$G42*$H42*$M42*$BN$11)</f>
        <v>0</v>
      </c>
      <c r="BO42" s="123"/>
      <c r="BP42" s="123">
        <f>(BO42/12*2*$E42*$G42*$H42*$M42*$BP$11)+(BO42/12*10*$F42*$G42*$H42*$M42*$BP$12)</f>
        <v>0</v>
      </c>
      <c r="BQ42" s="123"/>
      <c r="BR42" s="123">
        <f>(BQ42/12*2*$E42*$G42*$H42*$M42*$BR$11)+(BQ42/12*10*$F42*$G42*$H42*$M42*$BR$11)</f>
        <v>0</v>
      </c>
      <c r="BS42" s="123">
        <v>51</v>
      </c>
      <c r="BT42" s="123">
        <f>(BS42/12*2*$E42*$G42*$H42*$N42*$BT$11)+(BS42/12*10*$F42*$G42*$H42*$N42*$BT$11)</f>
        <v>2174490.2844000002</v>
      </c>
      <c r="BU42" s="123">
        <v>36</v>
      </c>
      <c r="BV42" s="126">
        <f>(BU42/12*2*$E42*$G42*$H42*$M42*$BV$11)+(BU42/12*10*$F42*$G42*$H42*$M42*$BV$11)</f>
        <v>1023289.5456</v>
      </c>
      <c r="BW42" s="123">
        <v>15</v>
      </c>
      <c r="BX42" s="123">
        <f>(BW42/12*2*$E42*$G42*$H42*$M42*$BX$11)+(BW42/12*10*$F42*$G42*$H42*$M42*$BX$11)</f>
        <v>426370.64400000003</v>
      </c>
      <c r="BY42" s="123">
        <v>54</v>
      </c>
      <c r="BZ42" s="123">
        <f>(BY42/12*2*$E42*$G42*$H42*$M42*$BZ$11)+(BY42/12*10*$F42*$G42*$H42*$M42*$BZ$11)</f>
        <v>1918667.8979999998</v>
      </c>
      <c r="CA42" s="123">
        <v>72</v>
      </c>
      <c r="CB42" s="123">
        <f>(CA42/12*2*$E42*$G42*$H42*$M42*$CB$11)+(CA42/12*10*$F42*$G42*$H42*$M42*$CB$11)</f>
        <v>3069868.6368</v>
      </c>
      <c r="CC42" s="123">
        <v>135</v>
      </c>
      <c r="CD42" s="123">
        <f>(CC42/12*2*$E42*$G42*$H42*$M42*$CD$11)+(CC42/12*10*$F42*$G42*$H42*$M42*$CD$11)</f>
        <v>4796669.7449999992</v>
      </c>
      <c r="CE42" s="123"/>
      <c r="CF42" s="123">
        <f>(CE42/12*10*$F42*$G42*$H42*$N42*$CF$11)</f>
        <v>0</v>
      </c>
      <c r="CG42" s="132">
        <v>100</v>
      </c>
      <c r="CH42" s="123">
        <f>(CG42/12*2*$E42*$G42*$H42*$N42*$CH$11)+(CG42/12*10*$F42*$G42*$H42*$N42*$CH$11)</f>
        <v>3837335.7960000006</v>
      </c>
      <c r="CI42" s="123"/>
      <c r="CJ42" s="127">
        <f>(CI42*$E42*$G42*$H42*$N42*CJ$11)</f>
        <v>0</v>
      </c>
      <c r="CK42" s="123"/>
      <c r="CL42" s="123">
        <f>(CK42/12*2*$E42*$G42*$H42*$N42*$CL$11)+(CK42/12*10*$F42*$G42*$H42*$N42*$CL$12)</f>
        <v>0</v>
      </c>
      <c r="CM42" s="130">
        <v>27</v>
      </c>
      <c r="CN42" s="123">
        <f>(CM42/12*2*$E42*$G42*$H42*$N42*$CN$11)+(CM42/12*10*$F42*$G42*$H42*$N42*$CN$11)</f>
        <v>1151200.7387999999</v>
      </c>
      <c r="CO42" s="123">
        <v>60</v>
      </c>
      <c r="CP42" s="123">
        <v>460475.64999999991</v>
      </c>
      <c r="CQ42" s="123">
        <v>10</v>
      </c>
      <c r="CR42" s="123">
        <f>(CQ42/12*2*$E42*$G42*$H42*$O42*$CR$11)+(CQ42/12*10*$F42*$G42*$H42*$O42*$CR$11)</f>
        <v>565956.27150000003</v>
      </c>
      <c r="CS42" s="123">
        <v>12</v>
      </c>
      <c r="CT42" s="133">
        <f>(CS42/12*2*$E42*$G42*$H42*$P42*$CT$11)+(CS42/12*10*$F42*$G42*$H42*$P42*$CT$11)</f>
        <v>782694.68219999992</v>
      </c>
      <c r="CU42" s="127"/>
      <c r="CV42" s="127"/>
      <c r="CW42" s="126">
        <f t="shared" si="17"/>
        <v>2607</v>
      </c>
      <c r="CX42" s="126">
        <f t="shared" si="17"/>
        <v>113613570.83269002</v>
      </c>
    </row>
    <row r="43" spans="1:102" ht="33" customHeight="1" x14ac:dyDescent="0.25">
      <c r="A43" s="91"/>
      <c r="B43" s="116">
        <v>26</v>
      </c>
      <c r="C43" s="117" t="s">
        <v>174</v>
      </c>
      <c r="D43" s="118" t="s">
        <v>175</v>
      </c>
      <c r="E43" s="95">
        <v>28004</v>
      </c>
      <c r="F43" s="96">
        <v>29405</v>
      </c>
      <c r="G43" s="152">
        <v>4.1900000000000004</v>
      </c>
      <c r="H43" s="110">
        <v>0.95</v>
      </c>
      <c r="I43" s="203">
        <v>1</v>
      </c>
      <c r="J43" s="153"/>
      <c r="K43" s="153"/>
      <c r="L43" s="63"/>
      <c r="M43" s="120">
        <v>1.4</v>
      </c>
      <c r="N43" s="120">
        <v>1.68</v>
      </c>
      <c r="O43" s="120">
        <v>2.23</v>
      </c>
      <c r="P43" s="121">
        <v>2.57</v>
      </c>
      <c r="Q43" s="122"/>
      <c r="R43" s="123">
        <f>(Q43/12*2*$E43*$G43*$H43*$M43*$R$11)+(Q43/12*10*$F43*$G43*$I43*$M43*$R$11)</f>
        <v>0</v>
      </c>
      <c r="S43" s="124"/>
      <c r="T43" s="125">
        <f>(S43/12*2*$E43*$G43*$H43*$M43*$R$11)+(S43/12*10*$F43*$G43*$I43*$M43*$R$11)</f>
        <v>0</v>
      </c>
      <c r="U43" s="123">
        <v>1</v>
      </c>
      <c r="V43" s="123">
        <f>(U43/12*2*$E43*$G43*$H43*$M43*$V$11)+(U43/12*10*$F43*$G43*$I43*$M43*$V$12)</f>
        <v>227589.62526999996</v>
      </c>
      <c r="W43" s="123"/>
      <c r="X43" s="126">
        <f>(W43/12*2*$E43*$G43*$H43*$M43*$X$11)+(W43/12*10*$F43*$G43*$I43*$M43*$X$12)</f>
        <v>0</v>
      </c>
      <c r="Y43" s="123"/>
      <c r="Z43" s="123">
        <f>(Y43/12*2*$E43*$G43*$H43*$M43*$Z$11)+(Y43/12*10*$F43*$G43*$I43*$M43*$Z$12)</f>
        <v>0</v>
      </c>
      <c r="AA43" s="123"/>
      <c r="AB43" s="123">
        <f>(AA43/12*2*$E43*$G43*$H43*$M43*$AB$11)+(AA43/12*10*$F43*$G43*$I43*$M43*$AB$11)</f>
        <v>0</v>
      </c>
      <c r="AC43" s="123"/>
      <c r="AD43" s="123"/>
      <c r="AE43" s="123">
        <v>2</v>
      </c>
      <c r="AF43" s="127">
        <f>(AE43/12*2*$E43*$G43*$H43*$M43*$AF$11)+(AE43/12*10*$F43*$G43*$I43*$M43*$AF$11)</f>
        <v>373452.3982933333</v>
      </c>
      <c r="AG43" s="123">
        <f>5-2</f>
        <v>3</v>
      </c>
      <c r="AH43" s="126">
        <f>(AG43/12*2*$E43*$G43*$H43*$M43*$AH$11)+(AG43/12*10*$F43*$G43*$I43*$M43*$AH$11)</f>
        <v>560178.59744000004</v>
      </c>
      <c r="AI43" s="130">
        <v>5</v>
      </c>
      <c r="AJ43" s="123">
        <f>(AI43/12*2*$E43*$G43*$H43*$M43*$AJ$11)+(AI43/12*5*$F43*$G43*$I43*$M43*$AJ$12)+(AI43/12*5*$F43*$G43*$I43*$M43*$AJ$13)</f>
        <v>1096195.0137833334</v>
      </c>
      <c r="AK43" s="123">
        <v>1</v>
      </c>
      <c r="AL43" s="123">
        <f>(AK43/12*2*$E43*$G43*$H43*$N43*$AL$11)+(AK43/12*5*$F43*$G43*$I43*$N43*$AL$12)+(AK43/12*5*$F43*$G43*$I43*$N43*$AL$13)</f>
        <v>263086.80330799997</v>
      </c>
      <c r="AM43" s="132"/>
      <c r="AN43" s="123">
        <f>(AM43/12*2*$E43*$G43*$H43*$N43*$AN$11)+(AM43/12*10*$F43*$G43*$I43*$N43*$AN$12)</f>
        <v>0</v>
      </c>
      <c r="AO43" s="130"/>
      <c r="AP43" s="127">
        <f>(AO43/12*2*$E43*$G43*$H43*$N43*$AP$11)+(AO43/12*10*$F43*$G43*$I43*$N43*$AP$11)</f>
        <v>0</v>
      </c>
      <c r="AQ43" s="127">
        <v>0</v>
      </c>
      <c r="AR43" s="127">
        <v>0</v>
      </c>
      <c r="AS43" s="123"/>
      <c r="AT43" s="123"/>
      <c r="AU43" s="123"/>
      <c r="AV43" s="126"/>
      <c r="AW43" s="123"/>
      <c r="AX43" s="123">
        <f>(AW43/12*2*$E43*$G43*$H43*$M43*$AX$11)+(AW43/12*10*$F43*$G43*$I43*$M43*$AX$12)</f>
        <v>0</v>
      </c>
      <c r="AY43" s="123">
        <v>2</v>
      </c>
      <c r="AZ43" s="123">
        <f>(AY43/12*2*$E43*$G43*$H43*$N43*$AZ$11)+(AY43/12*10*$F43*$G43*$I43*$N43*$AZ$11)</f>
        <v>448142.87795200001</v>
      </c>
      <c r="BA43" s="123"/>
      <c r="BB43" s="123">
        <f>(BA43/12*2*$E43*$G43*$H43*$N43*$BB$11)+(BA43/12*10*$F43*$G43*$I43*$N43*$BB$12)</f>
        <v>0</v>
      </c>
      <c r="BC43" s="123"/>
      <c r="BD43" s="126"/>
      <c r="BE43" s="140">
        <v>1</v>
      </c>
      <c r="BF43" s="123">
        <f>(BE43/12*10*$F43*$G43*$I43*$N43*$BF$12)</f>
        <v>172489.72999999998</v>
      </c>
      <c r="BG43" s="123"/>
      <c r="BH43" s="123">
        <f>(BG43/12*2*$E43*$G43*$H43*$N43*$BH$11)+(BG43/12*10*$F43*$G43*$I43*$N43*$BH$11)</f>
        <v>0</v>
      </c>
      <c r="BI43" s="123"/>
      <c r="BJ43" s="126">
        <f>(BI43/12*2*$E43*$G43*$H43*$N43*$BJ$11)+(BI43/12*10*$F43*$G43*$I43*$N43*$BJ$11)</f>
        <v>0</v>
      </c>
      <c r="BK43" s="123"/>
      <c r="BL43" s="127">
        <f>(BK43/12*2*$E43*$G43*$H43*$N43*$BL$11)+(BK43/12*10*$F43*$G43*$I43*$N43*$BL$11)</f>
        <v>0</v>
      </c>
      <c r="BM43" s="123"/>
      <c r="BN43" s="123">
        <f>(BM43/12*2*$E43*$G43*$H43*$M43*$BN$11)+(BM43/12*10*$F43*$G43*$I43*$M43*$BN$11)</f>
        <v>0</v>
      </c>
      <c r="BO43" s="123"/>
      <c r="BP43" s="123">
        <f>(BO43/12*2*$E43*$G43*$H43*$M43*$BP$11)+(BO43/12*10*$F43*$G43*$I43*$M43*$BP$12)</f>
        <v>0</v>
      </c>
      <c r="BQ43" s="123"/>
      <c r="BR43" s="123">
        <f>(BQ43/12*2*$E43*$G43*$H43*$M43*$BR$11)+(BQ43/12*10*$F43*$G43*$I43*$M43*$BR$11)</f>
        <v>0</v>
      </c>
      <c r="BS43" s="154"/>
      <c r="BT43" s="123">
        <f>(BS43/12*2*$E43*$G43*$H43*$N43*$BT$11)+(BS43/12*10*$F43*$G43*$I43*$N43*$BT$11)</f>
        <v>0</v>
      </c>
      <c r="BU43" s="123"/>
      <c r="BV43" s="126">
        <f>(BU43/12*2*$E43*$G43*$H43*$M43*$BV$11)+(BU43/12*10*$F43*$G43*$I43*$M43*$BV$11)</f>
        <v>0</v>
      </c>
      <c r="BW43" s="123"/>
      <c r="BX43" s="123">
        <f>(BW43/12*2*$E43*$G43*$H43*$M43*$BX$11)+(BW43/12*10*$F43*$G43*$I43*$M43*$BX$11)</f>
        <v>0</v>
      </c>
      <c r="BY43" s="123"/>
      <c r="BZ43" s="123">
        <f>(BY43/12*2*$E43*$G43*$H43*$M43*$BZ$11)+(BY43/12*10*$F43*$G43*$I43*$M43*$BZ$11)</f>
        <v>0</v>
      </c>
      <c r="CA43" s="123"/>
      <c r="CB43" s="123">
        <f>(CA43/12*2*$E43*$G43*$H43*$M43*$CB$11)+(CA43/12*10*$F43*$G43*$I43*$M43*$CB$11)</f>
        <v>0</v>
      </c>
      <c r="CC43" s="123"/>
      <c r="CD43" s="123">
        <f>(CC43/12*2*$E43*$G43*$H43*$M43*$CD$11)+(CC43/12*10*$F43*$G43*$I43*$M43*$CD$11)</f>
        <v>0</v>
      </c>
      <c r="CE43" s="123">
        <v>15</v>
      </c>
      <c r="CF43" s="123">
        <f>(CE43/12*10*$F43*$G43*$I43*$N43*$CF$11)</f>
        <v>2587345.9500000002</v>
      </c>
      <c r="CG43" s="132"/>
      <c r="CH43" s="123">
        <f>(CG43/12*2*$E43*$G43*$H43*$N43*$CH$11)+(CG43/12*10*$F43*$G43*$I43*$N43*$CH$11)</f>
        <v>0</v>
      </c>
      <c r="CI43" s="123"/>
      <c r="CJ43" s="127"/>
      <c r="CK43" s="123"/>
      <c r="CL43" s="123">
        <f>(CK43/12*2*$E43*$G43*$H43*$N43*$CL$11)+(CK43/12*10*$F43*$G43*$I43*$N43*$CL$12)</f>
        <v>0</v>
      </c>
      <c r="CM43" s="130"/>
      <c r="CN43" s="123">
        <f>(CM43/12*2*$E43*$G43*$H43*$N43*$CN$11)+(CM43/12*10*$F43*$G43*$I43*$N43*$CN$11)</f>
        <v>0</v>
      </c>
      <c r="CO43" s="123"/>
      <c r="CP43" s="123">
        <f>(CO43/12*2*$E43*$G43*$H43*$N43*$CP$11)+(CO43/12*10*$F43*$G43*$I43*$N43*$CP$11)</f>
        <v>0</v>
      </c>
      <c r="CQ43" s="123"/>
      <c r="CR43" s="123">
        <f>(CQ43/12*2*$E43*$G43*$H43*$O43*$CR$11)+(CQ43/12*10*$F43*$G43*$I43*$O43*$CR$11)</f>
        <v>0</v>
      </c>
      <c r="CS43" s="123"/>
      <c r="CT43" s="133">
        <f>(CS43/12*2*$E43*$G43*$H43*$P43*$CT$11)+(CS43/12*10*$F43*$G43*$I43*$P43*$CT$11)</f>
        <v>0</v>
      </c>
      <c r="CU43" s="127"/>
      <c r="CV43" s="127"/>
      <c r="CW43" s="126">
        <f t="shared" si="17"/>
        <v>30</v>
      </c>
      <c r="CX43" s="126">
        <f t="shared" si="17"/>
        <v>5728480.996046667</v>
      </c>
    </row>
    <row r="44" spans="1:102" ht="18.75" customHeight="1" x14ac:dyDescent="0.25">
      <c r="A44" s="109">
        <v>5</v>
      </c>
      <c r="B44" s="150"/>
      <c r="C44" s="93" t="s">
        <v>176</v>
      </c>
      <c r="D44" s="94" t="s">
        <v>177</v>
      </c>
      <c r="E44" s="95">
        <v>28004</v>
      </c>
      <c r="F44" s="96">
        <v>29405</v>
      </c>
      <c r="G44" s="151">
        <v>1.66</v>
      </c>
      <c r="H44" s="110"/>
      <c r="I44" s="108"/>
      <c r="J44" s="108"/>
      <c r="K44" s="108"/>
      <c r="L44" s="111"/>
      <c r="M44" s="112">
        <v>1.4</v>
      </c>
      <c r="N44" s="112">
        <v>1.68</v>
      </c>
      <c r="O44" s="112">
        <v>2.23</v>
      </c>
      <c r="P44" s="113">
        <v>2.57</v>
      </c>
      <c r="Q44" s="103">
        <f>SUM(Q45:Q50)</f>
        <v>110</v>
      </c>
      <c r="R44" s="104">
        <f>SUM(R45:R50)</f>
        <v>13136976.4603</v>
      </c>
      <c r="S44" s="114">
        <f t="shared" ref="S44:CD44" si="18">SUM(S45:S50)</f>
        <v>3</v>
      </c>
      <c r="T44" s="115">
        <f t="shared" si="18"/>
        <v>101348.79216</v>
      </c>
      <c r="U44" s="104">
        <f t="shared" si="18"/>
        <v>93</v>
      </c>
      <c r="V44" s="104">
        <f t="shared" si="18"/>
        <v>14108109.998779997</v>
      </c>
      <c r="W44" s="104">
        <f t="shared" si="18"/>
        <v>0</v>
      </c>
      <c r="X44" s="104">
        <f t="shared" si="18"/>
        <v>0</v>
      </c>
      <c r="Y44" s="104">
        <f t="shared" si="18"/>
        <v>0</v>
      </c>
      <c r="Z44" s="104">
        <f t="shared" si="18"/>
        <v>0</v>
      </c>
      <c r="AA44" s="104">
        <f t="shared" si="18"/>
        <v>0</v>
      </c>
      <c r="AB44" s="104">
        <f t="shared" si="18"/>
        <v>0</v>
      </c>
      <c r="AC44" s="104">
        <f t="shared" si="18"/>
        <v>0</v>
      </c>
      <c r="AD44" s="104">
        <f t="shared" si="18"/>
        <v>0</v>
      </c>
      <c r="AE44" s="104">
        <f t="shared" si="18"/>
        <v>215</v>
      </c>
      <c r="AF44" s="105">
        <f t="shared" si="18"/>
        <v>15291448.258240001</v>
      </c>
      <c r="AG44" s="104">
        <f t="shared" si="18"/>
        <v>208</v>
      </c>
      <c r="AH44" s="104">
        <f t="shared" si="18"/>
        <v>8235038.604100002</v>
      </c>
      <c r="AI44" s="106">
        <f t="shared" si="18"/>
        <v>306</v>
      </c>
      <c r="AJ44" s="104">
        <f t="shared" si="18"/>
        <v>12507859.873599999</v>
      </c>
      <c r="AK44" s="104">
        <f t="shared" si="18"/>
        <v>141</v>
      </c>
      <c r="AL44" s="104">
        <f t="shared" si="18"/>
        <v>14908088.187258001</v>
      </c>
      <c r="AM44" s="104">
        <f t="shared" si="18"/>
        <v>0</v>
      </c>
      <c r="AN44" s="104">
        <f t="shared" si="18"/>
        <v>0</v>
      </c>
      <c r="AO44" s="106">
        <f t="shared" si="18"/>
        <v>1</v>
      </c>
      <c r="AP44" s="104">
        <f t="shared" si="18"/>
        <v>208142.34209999998</v>
      </c>
      <c r="AQ44" s="104">
        <v>10</v>
      </c>
      <c r="AR44" s="104">
        <v>552275.83000000007</v>
      </c>
      <c r="AS44" s="104">
        <f t="shared" si="18"/>
        <v>0</v>
      </c>
      <c r="AT44" s="104">
        <f t="shared" si="18"/>
        <v>0</v>
      </c>
      <c r="AU44" s="104">
        <f t="shared" si="18"/>
        <v>0</v>
      </c>
      <c r="AV44" s="104">
        <f t="shared" si="18"/>
        <v>0</v>
      </c>
      <c r="AW44" s="104">
        <f t="shared" si="18"/>
        <v>10</v>
      </c>
      <c r="AX44" s="104">
        <f t="shared" si="18"/>
        <v>353062.27040000004</v>
      </c>
      <c r="AY44" s="104">
        <f t="shared" si="18"/>
        <v>135</v>
      </c>
      <c r="AZ44" s="104">
        <f t="shared" si="18"/>
        <v>6164540.1500759991</v>
      </c>
      <c r="BA44" s="104">
        <f t="shared" si="18"/>
        <v>61</v>
      </c>
      <c r="BB44" s="104">
        <f t="shared" si="18"/>
        <v>7052309.0892799981</v>
      </c>
      <c r="BC44" s="104">
        <f t="shared" si="18"/>
        <v>0</v>
      </c>
      <c r="BD44" s="104">
        <f t="shared" si="18"/>
        <v>0</v>
      </c>
      <c r="BE44" s="104">
        <f t="shared" si="18"/>
        <v>23</v>
      </c>
      <c r="BF44" s="104">
        <f t="shared" si="18"/>
        <v>856273.6</v>
      </c>
      <c r="BG44" s="104">
        <f t="shared" si="18"/>
        <v>7</v>
      </c>
      <c r="BH44" s="104">
        <f t="shared" si="18"/>
        <v>541284.883776</v>
      </c>
      <c r="BI44" s="104">
        <f t="shared" si="18"/>
        <v>49</v>
      </c>
      <c r="BJ44" s="104">
        <f t="shared" si="18"/>
        <v>2532700.3383359998</v>
      </c>
      <c r="BK44" s="104">
        <f t="shared" si="18"/>
        <v>47</v>
      </c>
      <c r="BL44" s="104">
        <f t="shared" si="18"/>
        <v>3723774.1319519999</v>
      </c>
      <c r="BM44" s="104">
        <f t="shared" si="18"/>
        <v>0</v>
      </c>
      <c r="BN44" s="104">
        <f t="shared" si="18"/>
        <v>0</v>
      </c>
      <c r="BO44" s="104">
        <f t="shared" si="18"/>
        <v>28</v>
      </c>
      <c r="BP44" s="104">
        <f t="shared" si="18"/>
        <v>787694.78293333342</v>
      </c>
      <c r="BQ44" s="104">
        <f t="shared" si="18"/>
        <v>0</v>
      </c>
      <c r="BR44" s="104">
        <f t="shared" si="18"/>
        <v>0</v>
      </c>
      <c r="BS44" s="104">
        <f t="shared" si="18"/>
        <v>30</v>
      </c>
      <c r="BT44" s="104">
        <f t="shared" si="18"/>
        <v>1964245.4496000004</v>
      </c>
      <c r="BU44" s="104">
        <f t="shared" si="18"/>
        <v>0</v>
      </c>
      <c r="BV44" s="104">
        <f t="shared" si="18"/>
        <v>0</v>
      </c>
      <c r="BW44" s="104">
        <f t="shared" si="18"/>
        <v>0</v>
      </c>
      <c r="BX44" s="104">
        <f t="shared" si="18"/>
        <v>0</v>
      </c>
      <c r="BY44" s="104">
        <f t="shared" si="18"/>
        <v>23</v>
      </c>
      <c r="BZ44" s="104">
        <f t="shared" si="18"/>
        <v>706370.36959999998</v>
      </c>
      <c r="CA44" s="104">
        <f t="shared" si="18"/>
        <v>28</v>
      </c>
      <c r="CB44" s="104">
        <f t="shared" si="18"/>
        <v>1718812.7846399997</v>
      </c>
      <c r="CC44" s="104">
        <f t="shared" si="18"/>
        <v>40</v>
      </c>
      <c r="CD44" s="104">
        <f t="shared" si="18"/>
        <v>1228470.2080000001</v>
      </c>
      <c r="CE44" s="104">
        <f t="shared" ref="CE44:CW44" si="19">SUM(CE45:CE50)</f>
        <v>12</v>
      </c>
      <c r="CF44" s="104">
        <f t="shared" si="19"/>
        <v>642246.36700000009</v>
      </c>
      <c r="CG44" s="104">
        <f t="shared" si="19"/>
        <v>31</v>
      </c>
      <c r="CH44" s="104">
        <f t="shared" si="19"/>
        <v>1182781.5713280002</v>
      </c>
      <c r="CI44" s="104">
        <f t="shared" si="19"/>
        <v>0</v>
      </c>
      <c r="CJ44" s="104">
        <f t="shared" si="19"/>
        <v>0</v>
      </c>
      <c r="CK44" s="104">
        <f t="shared" si="19"/>
        <v>0</v>
      </c>
      <c r="CL44" s="104">
        <f t="shared" si="19"/>
        <v>0</v>
      </c>
      <c r="CM44" s="104">
        <f t="shared" si="19"/>
        <v>0</v>
      </c>
      <c r="CN44" s="104">
        <f t="shared" si="19"/>
        <v>0</v>
      </c>
      <c r="CO44" s="104">
        <f t="shared" si="19"/>
        <v>25</v>
      </c>
      <c r="CP44" s="104">
        <f t="shared" si="19"/>
        <v>35379.129999999997</v>
      </c>
      <c r="CQ44" s="104">
        <f t="shared" si="19"/>
        <v>5</v>
      </c>
      <c r="CR44" s="104">
        <f t="shared" si="19"/>
        <v>244597.19320000004</v>
      </c>
      <c r="CS44" s="104">
        <f t="shared" si="19"/>
        <v>10</v>
      </c>
      <c r="CT44" s="104">
        <f t="shared" si="19"/>
        <v>826477.60311999999</v>
      </c>
      <c r="CU44" s="104">
        <f t="shared" si="19"/>
        <v>0</v>
      </c>
      <c r="CV44" s="104">
        <f t="shared" si="19"/>
        <v>0</v>
      </c>
      <c r="CW44" s="104">
        <f t="shared" si="19"/>
        <v>1651</v>
      </c>
      <c r="CX44" s="104">
        <f>SUM(CX45:CX50)</f>
        <v>109610308.26977931</v>
      </c>
    </row>
    <row r="45" spans="1:102" ht="15.75" customHeight="1" x14ac:dyDescent="0.25">
      <c r="A45" s="91"/>
      <c r="B45" s="116">
        <v>27</v>
      </c>
      <c r="C45" s="117" t="s">
        <v>178</v>
      </c>
      <c r="D45" s="118" t="s">
        <v>179</v>
      </c>
      <c r="E45" s="95">
        <v>28004</v>
      </c>
      <c r="F45" s="96">
        <v>29405</v>
      </c>
      <c r="G45" s="119">
        <v>0.94</v>
      </c>
      <c r="H45" s="110">
        <v>0.8</v>
      </c>
      <c r="I45" s="108"/>
      <c r="J45" s="108"/>
      <c r="K45" s="108"/>
      <c r="L45" s="63"/>
      <c r="M45" s="120">
        <v>1.4</v>
      </c>
      <c r="N45" s="120">
        <v>1.68</v>
      </c>
      <c r="O45" s="120">
        <v>2.23</v>
      </c>
      <c r="P45" s="121">
        <v>2.57</v>
      </c>
      <c r="Q45" s="122">
        <v>32</v>
      </c>
      <c r="R45" s="123">
        <f>(Q45/12*2*$E45*$G45*$H45*$M45*$R$11)+(Q45/12*10*$F45*$G45*$H45*$M45*$R$11)</f>
        <v>1081053.7830400001</v>
      </c>
      <c r="S45" s="124">
        <v>3</v>
      </c>
      <c r="T45" s="125">
        <f>(S45/12*2*$E45*$G45*$H45*$M45*$R$11)+(S45/12*10*$F45*$G45*$H45*$M45*$R$11)</f>
        <v>101348.79216</v>
      </c>
      <c r="U45" s="123">
        <v>30</v>
      </c>
      <c r="V45" s="123">
        <f>(U45/12*2*$E45*$G45*$H45*$M45*$V$11)+(U45/12*10*$F45*$G45*$H45*$M45*$V$12)</f>
        <v>1235717.9464</v>
      </c>
      <c r="W45" s="123"/>
      <c r="X45" s="126">
        <f>(W45/12*2*$E45*$G45*$H45*$M45*$X$11)+(W45/12*10*$F45*$G45*$H45*$M45*$X$12)</f>
        <v>0</v>
      </c>
      <c r="Y45" s="123"/>
      <c r="Z45" s="123">
        <f>(Y45/12*2*$E45*$G45*$H45*$M45*$Z$11)+(Y45/12*10*$F45*$G45*$H45*$M45*$Z$12)</f>
        <v>0</v>
      </c>
      <c r="AA45" s="123"/>
      <c r="AB45" s="123">
        <f>(AA45/12*2*$E45*$G45*$H45*$M45*$AB$11)+(AA45/12*10*$F45*$G45*$H45*$M45*$AB$11)</f>
        <v>0</v>
      </c>
      <c r="AC45" s="123"/>
      <c r="AD45" s="123"/>
      <c r="AE45" s="123">
        <v>164</v>
      </c>
      <c r="AF45" s="127">
        <f>(AE45/12*2*$E45*$G45*$H45*$M45*$AF$11)+(AE45/12*10*$F45*$G45*$H45*$M45*$AF$11)</f>
        <v>5540400.6380800009</v>
      </c>
      <c r="AG45" s="123">
        <v>194</v>
      </c>
      <c r="AH45" s="126">
        <f>(AG45/12*2*$E45*$G45*$H45*$M45*$AH$11)+(AG45/12*10*$F45*$G45*$H45*$M45*$AH$11)</f>
        <v>6553888.5596800018</v>
      </c>
      <c r="AI45" s="130">
        <v>304</v>
      </c>
      <c r="AJ45" s="123">
        <f t="shared" ref="AJ45:AJ46" si="20">(AI45/12*2*$E45*$G45*$H45*$M45*$AJ$11)+(AI45/12*5*$F45*$G45*$H45*$M45*$AJ$12)+(AI45/12*5*$F45*$G45*$H45*$M45*$AJ$13)</f>
        <v>12058859.775573332</v>
      </c>
      <c r="AK45" s="123">
        <v>100</v>
      </c>
      <c r="AL45" s="123">
        <f t="shared" ref="AL45:AL46" si="21">(AK45/12*2*$E45*$G45*$H45*$N45*$AL$11)+(AK45/12*5*$F45*$G45*$H45*$N45*$AL$12)++(AK45/12*5*$F45*$G45*$H45*$N45*$AL$13)</f>
        <v>4760076.2272000005</v>
      </c>
      <c r="AM45" s="132"/>
      <c r="AN45" s="123">
        <f>(AM45/12*2*$E45*$G45*$H45*$N45*$AN$11)+(AM45/12*10*$F45*$G45*$H45*$N45*$AN$12)</f>
        <v>0</v>
      </c>
      <c r="AO45" s="130"/>
      <c r="AP45" s="127">
        <f>(AO45/12*2*$E45*$G45*$H45*$N45*$AP$11)+(AO45/12*10*$F45*$G45*$H45*$N45*$AP$11)</f>
        <v>0</v>
      </c>
      <c r="AQ45" s="127">
        <v>9</v>
      </c>
      <c r="AR45" s="127">
        <v>344423.65</v>
      </c>
      <c r="AS45" s="123"/>
      <c r="AT45" s="123">
        <f>(AS45/12*2*$E45*$G45*$H45*$M45*$AT$11)+(AS45/12*10*$F45*$G45*$H45*$M45*$AT$11)</f>
        <v>0</v>
      </c>
      <c r="AU45" s="123"/>
      <c r="AV45" s="126">
        <f>(AU45/12*2*$E45*$G45*$H45*$M45*$AV$11)+(AU45/12*10*$F45*$G45*$H45*$M45*$AV$12)</f>
        <v>0</v>
      </c>
      <c r="AW45" s="123">
        <v>10</v>
      </c>
      <c r="AX45" s="123">
        <f>(AW45/12*2*$E45*$G45*$H45*$M45*$AX$11)+(AW45/12*10*$F45*$G45*$H45*$M45*$AX$12)</f>
        <v>353062.27040000004</v>
      </c>
      <c r="AY45" s="123">
        <v>131</v>
      </c>
      <c r="AZ45" s="123">
        <f>(AY45/12*2*$E45*$G45*$H45*$N45*$AZ$11)+(AY45/12*10*$F45*$G45*$H45*$N45*$AZ$11)</f>
        <v>5310676.7091839993</v>
      </c>
      <c r="BA45" s="123">
        <v>28</v>
      </c>
      <c r="BB45" s="123">
        <f>(BA45/12*2*$E45*$G45*$H45*$N45*$BB$11)+(BA45/12*10*$F45*$G45*$H45*$N45*$BB$12)</f>
        <v>997242.48063999997</v>
      </c>
      <c r="BC45" s="123"/>
      <c r="BD45" s="126">
        <f>(BC45/12*2*$E45*$G45*$H45*$N45*$BD$11)+(BC45/12*10*$F45*$G45*$H45*$N45*$BD$12)</f>
        <v>0</v>
      </c>
      <c r="BE45" s="123">
        <v>22</v>
      </c>
      <c r="BF45" s="123">
        <f>(BE45/12*10*$F45*$G45*$H45*$N45*$BF$12)</f>
        <v>681066.848</v>
      </c>
      <c r="BG45" s="123">
        <v>5</v>
      </c>
      <c r="BH45" s="123">
        <f>(BG45/12*2*$E45*$G45*$H45*$N45*$BH$11)+(BG45/12*10*$F45*$G45*$H45*$N45*$BH$11)</f>
        <v>165843.47808000003</v>
      </c>
      <c r="BI45" s="123">
        <v>47</v>
      </c>
      <c r="BJ45" s="126">
        <f>(BI45/12*2*$E45*$G45*$H45*$N45*$BJ$11)+(BI45/12*10*$F45*$G45*$H45*$N45*$BJ$11)</f>
        <v>2078571.5919359997</v>
      </c>
      <c r="BK45" s="123">
        <v>38</v>
      </c>
      <c r="BL45" s="127">
        <f>(BK45/12*2*$E45*$G45*$H45*$N45*$BL$11)+(BK45/12*10*$F45*$G45*$H45*$N45*$BL$11)</f>
        <v>1680547.2445439999</v>
      </c>
      <c r="BM45" s="123"/>
      <c r="BN45" s="123">
        <f>(BM45/12*2*$E45*$G45*$H45*$M45*$BN$11)+(BM45/12*10*$F45*$G45*$H45*$M45*$BN$11)</f>
        <v>0</v>
      </c>
      <c r="BO45" s="123">
        <v>28</v>
      </c>
      <c r="BP45" s="123">
        <f>(BO45/12*2*$E45*$G45*$H45*$M45*$BP$11)+(BO45/12*10*$F45*$G45*$H45*$M45*$BP$12)</f>
        <v>787694.78293333342</v>
      </c>
      <c r="BQ45" s="123"/>
      <c r="BR45" s="123">
        <f>(BQ45/12*2*$E45*$G45*$H45*$M45*$BR$11)+(BQ45/12*10*$F45*$G45*$H45*$M45*$BR$11)</f>
        <v>0</v>
      </c>
      <c r="BS45" s="123">
        <v>25</v>
      </c>
      <c r="BT45" s="123">
        <f>(BS45/12*2*$E45*$G45*$H45*$N45*$BT$11)+(BS45/12*10*$F45*$G45*$H45*$N45*$BT$11)</f>
        <v>921352.65600000008</v>
      </c>
      <c r="BU45" s="123"/>
      <c r="BV45" s="126">
        <f>(BU45/12*2*$E45*$G45*$H45*$M45*$BV$11)+(BU45/12*10*$F45*$G45*$H45*$M45*$BV$11)</f>
        <v>0</v>
      </c>
      <c r="BW45" s="123"/>
      <c r="BX45" s="123">
        <f>(BW45/12*2*$E45*$G45*$H45*$M45*$BX$11)+(BW45/12*10*$F45*$G45*$H45*$M45*$BX$11)</f>
        <v>0</v>
      </c>
      <c r="BY45" s="123">
        <v>23</v>
      </c>
      <c r="BZ45" s="123">
        <f>(BY45/12*2*$E45*$G45*$H45*$M45*$BZ$11)+(BY45/12*10*$F45*$G45*$H45*$M45*$BZ$11)</f>
        <v>706370.36959999998</v>
      </c>
      <c r="CA45" s="123">
        <v>24</v>
      </c>
      <c r="CB45" s="123">
        <f>(CA45/12*2*$E45*$G45*$H45*$M45*$CB$11)+(CA45/12*10*$F45*$G45*$H45*$M45*$CB$11)</f>
        <v>884498.54975999997</v>
      </c>
      <c r="CC45" s="123">
        <v>40</v>
      </c>
      <c r="CD45" s="123">
        <f>(CC45/12*2*$E45*$G45*$H45*$M45*$CD$11)+(CC45/12*10*$F45*$G45*$H45*$M45*$CD$11)</f>
        <v>1228470.2080000001</v>
      </c>
      <c r="CE45" s="123">
        <v>10</v>
      </c>
      <c r="CF45" s="123">
        <f>(CE45/12*10*$F45*$G45*$H45*$N45*$CF$11)</f>
        <v>309575.84000000003</v>
      </c>
      <c r="CG45" s="132">
        <v>30</v>
      </c>
      <c r="CH45" s="123">
        <f>(CG45/12*2*$E45*$G45*$H45*$N45*$CH$11)+(CG45/12*10*$F45*$G45*$H45*$N45*$CH$11)</f>
        <v>995060.86848000006</v>
      </c>
      <c r="CI45" s="123"/>
      <c r="CJ45" s="127">
        <f t="shared" ref="CJ45:CJ50" si="22">(CI45*$E45*$G45*$H45*$N45*CJ$11)</f>
        <v>0</v>
      </c>
      <c r="CK45" s="123"/>
      <c r="CL45" s="123">
        <f>(CK45/12*2*$E45*$G45*$H45*$N45*$CL$11)+(CK45/12*10*$F45*$G45*$H45*$N45*$CL$12)</f>
        <v>0</v>
      </c>
      <c r="CM45" s="130"/>
      <c r="CN45" s="123">
        <f>(CM45/12*2*$E45*$G45*$H45*$N45*$CN$11)+(CM45/12*10*$F45*$G45*$H45*$N45*$CN$11)</f>
        <v>0</v>
      </c>
      <c r="CO45" s="123">
        <v>25</v>
      </c>
      <c r="CP45" s="123">
        <v>35379.129999999997</v>
      </c>
      <c r="CQ45" s="123">
        <v>5</v>
      </c>
      <c r="CR45" s="123">
        <f>(CQ45/12*2*$E45*$G45*$H45*$O45*$CR$11)+(CQ45/12*10*$F45*$G45*$H45*$O45*$CR$11)</f>
        <v>244597.19320000004</v>
      </c>
      <c r="CS45" s="123">
        <v>9</v>
      </c>
      <c r="CT45" s="133">
        <f>(CS45/12*2*$E45*$G45*$H45*$P45*$CT$11)+(CS45/12*10*$F45*$G45*$H45*$P45*$CT$11)</f>
        <v>507402.06984000001</v>
      </c>
      <c r="CU45" s="127"/>
      <c r="CV45" s="127"/>
      <c r="CW45" s="126">
        <f t="shared" ref="CW45:CX50" si="23">SUM(Q45,S45,U45,W45,Y45,AA45,AC45,AE45,AG45,AM45,BQ45,AI45,AU45,CC45,AW45,AY45,AK45,BC45,AO45,AQ45,BE45,CE45,BG45,BI45,BK45,BS45,BM45,BO45,BU45,BW45,BY45,CA45,CG45,BA45,AS45,CI45,CK45,CM45,CO45,CQ45,CS45,CU45)</f>
        <v>1336</v>
      </c>
      <c r="CX45" s="126">
        <f t="shared" si="23"/>
        <v>49563181.662730664</v>
      </c>
    </row>
    <row r="46" spans="1:102" ht="18.75" customHeight="1" x14ac:dyDescent="0.25">
      <c r="A46" s="91"/>
      <c r="B46" s="116">
        <v>28</v>
      </c>
      <c r="C46" s="117" t="s">
        <v>180</v>
      </c>
      <c r="D46" s="118" t="s">
        <v>181</v>
      </c>
      <c r="E46" s="95">
        <v>28004</v>
      </c>
      <c r="F46" s="96">
        <v>29405</v>
      </c>
      <c r="G46" s="119">
        <v>5.32</v>
      </c>
      <c r="H46" s="110">
        <v>0.8</v>
      </c>
      <c r="I46" s="153"/>
      <c r="J46" s="153"/>
      <c r="K46" s="153"/>
      <c r="L46" s="63"/>
      <c r="M46" s="120">
        <v>1.4</v>
      </c>
      <c r="N46" s="120">
        <v>1.68</v>
      </c>
      <c r="O46" s="120">
        <v>2.23</v>
      </c>
      <c r="P46" s="121">
        <v>2.57</v>
      </c>
      <c r="Q46" s="122">
        <v>21</v>
      </c>
      <c r="R46" s="123">
        <f>(Q46/12*2*$E46*$G46*$H46*$M46*$R$11)+(Q46/12*10*$F46*$G46*$H46*$M46*$R$11)</f>
        <v>4015137.2553599998</v>
      </c>
      <c r="S46" s="124"/>
      <c r="T46" s="125">
        <f>(S46/12*2*$E46*$G46*$H46*$M46*$R$11)+(S46/12*10*$F46*$G46*$H46*$M46*$R$11)</f>
        <v>0</v>
      </c>
      <c r="U46" s="123">
        <v>7</v>
      </c>
      <c r="V46" s="123">
        <f>(U46/12*2*$E46*$G46*$H46*$M46*$V$11)+(U46/12*10*$F46*$G46*$H46*$M46*$V$12)</f>
        <v>1631848.8058133337</v>
      </c>
      <c r="W46" s="123"/>
      <c r="X46" s="126">
        <f>(W46/12*2*$E46*$G46*$H46*$M46*$X$11)+(W46/12*10*$F46*$G46*$H46*$M46*$X$12)</f>
        <v>0</v>
      </c>
      <c r="Y46" s="123"/>
      <c r="Z46" s="123">
        <f>(Y46/12*2*$E46*$G46*$H46*$M46*$Z$11)+(Y46/12*10*$F46*$G46*$H46*$M46*$Z$12)</f>
        <v>0</v>
      </c>
      <c r="AA46" s="123"/>
      <c r="AB46" s="123">
        <f>(AA46/12*2*$E46*$G46*$H46*$M46*$AB$11)+(AA46/12*10*$F46*$G46*$H46*$M46*$AB$11)</f>
        <v>0</v>
      </c>
      <c r="AC46" s="123"/>
      <c r="AD46" s="123"/>
      <c r="AE46" s="123">
        <v>51</v>
      </c>
      <c r="AF46" s="127">
        <f>(AE46/12*2*$E46*$G46*$H46*$M46*$AF$11)+(AE46/12*10*$F46*$G46*$H46*$M46*$AF$11)</f>
        <v>9751047.6201600004</v>
      </c>
      <c r="AG46" s="123">
        <v>7</v>
      </c>
      <c r="AH46" s="126">
        <f>(AG46/12*2*$E46*$G46*$H46*$M46*$AH$11)+(AG46/12*10*$F46*$G46*$H46*$M46*$AH$11)</f>
        <v>1338379.0851200002</v>
      </c>
      <c r="AI46" s="130">
        <v>2</v>
      </c>
      <c r="AJ46" s="123">
        <f t="shared" si="20"/>
        <v>449000.09802666667</v>
      </c>
      <c r="AK46" s="123">
        <v>13</v>
      </c>
      <c r="AL46" s="123">
        <f t="shared" si="21"/>
        <v>3502200.7646079995</v>
      </c>
      <c r="AM46" s="132"/>
      <c r="AN46" s="123">
        <f>(AM46/12*2*$E46*$G46*$H46*$N46*$AN$11)+(AM46/12*10*$F46*$G46*$H46*$N46*$AN$12)</f>
        <v>0</v>
      </c>
      <c r="AO46" s="130"/>
      <c r="AP46" s="127">
        <f>(AO46/12*2*$E46*$G46*$H46*$N46*$AP$11)+(AO46/12*10*$F46*$G46*$H46*$N46*$AP$11)</f>
        <v>0</v>
      </c>
      <c r="AQ46" s="127">
        <v>0</v>
      </c>
      <c r="AR46" s="127">
        <v>0</v>
      </c>
      <c r="AS46" s="123"/>
      <c r="AT46" s="123">
        <f>(AS46/12*2*$E46*$G46*$H46*$M46*$AT$11)+(AS46/12*10*$F46*$G46*$H46*$M46*$AT$11)</f>
        <v>0</v>
      </c>
      <c r="AU46" s="123"/>
      <c r="AV46" s="126">
        <f>(AU46/12*2*$E46*$G46*$H46*$M46*$AV$11)+(AU46/12*10*$F46*$G46*$H46*$M46*$AV$12)</f>
        <v>0</v>
      </c>
      <c r="AW46" s="123"/>
      <c r="AX46" s="123">
        <f>(AW46/12*2*$E46*$G46*$H46*$M46*$AX$11)+(AW46/12*10*$F46*$G46*$H46*$M46*$AX$12)</f>
        <v>0</v>
      </c>
      <c r="AY46" s="123">
        <v>1</v>
      </c>
      <c r="AZ46" s="123">
        <f>(AY46/12*2*$E46*$G46*$H46*$N46*$AZ$11)+(AY46/12*10*$F46*$G46*$H46*$N46*$AZ$11)</f>
        <v>229436.41459200004</v>
      </c>
      <c r="BA46" s="123">
        <v>1</v>
      </c>
      <c r="BB46" s="123">
        <f>(BA46/12*2*$E46*$G46*$H46*$N46*$BB$11)+(BA46/12*10*$F46*$G46*$H46*$N46*$BB$12)</f>
        <v>201570.28863999998</v>
      </c>
      <c r="BC46" s="123"/>
      <c r="BD46" s="126">
        <f>(BC46/12*2*$E46*$G46*$H46*$N46*$BD$11)+(BC46/12*10*$F46*$G46*$H46*$N46*$BD$12)</f>
        <v>0</v>
      </c>
      <c r="BE46" s="123">
        <v>1</v>
      </c>
      <c r="BF46" s="123">
        <f>(BE46/12*10*$F46*$G46*$H46*$N46*$BF$12)</f>
        <v>175206.75200000001</v>
      </c>
      <c r="BG46" s="123">
        <v>2</v>
      </c>
      <c r="BH46" s="123">
        <f>(BG46/12*2*$E46*$G46*$H46*$N46*$BH$11)+(BG46/12*10*$F46*$G46*$H46*$N46*$BH$11)</f>
        <v>375441.40569600003</v>
      </c>
      <c r="BI46" s="123"/>
      <c r="BJ46" s="126">
        <f>(BI46/12*2*$E46*$G46*$H46*$N46*$BJ$11)+(BI46/12*10*$F46*$G46*$H46*$N46*$BJ$11)</f>
        <v>0</v>
      </c>
      <c r="BK46" s="123">
        <v>7</v>
      </c>
      <c r="BL46" s="127">
        <f>(BK46/12*2*$E46*$G46*$H46*$N46*$BL$11)+(BK46/12*10*$F46*$G46*$H46*$N46*$BL$11)</f>
        <v>1752059.8932480002</v>
      </c>
      <c r="BM46" s="123"/>
      <c r="BN46" s="123">
        <f>(BM46/12*2*$E46*$G46*$H46*$M46*$BN$11)+(BM46/12*10*$F46*$G46*$H46*$M46*$BN$11)</f>
        <v>0</v>
      </c>
      <c r="BO46" s="123"/>
      <c r="BP46" s="123">
        <f>(BO46/12*2*$E46*$G46*$H46*$M46*$BP$11)+(BO46/12*10*$F46*$G46*$H46*$M46*$BP$12)</f>
        <v>0</v>
      </c>
      <c r="BQ46" s="123"/>
      <c r="BR46" s="123">
        <f>(BQ46/12*2*$E46*$G46*$H46*$M46*$BR$11)+(BQ46/12*10*$F46*$G46*$H46*$M46*$BR$11)</f>
        <v>0</v>
      </c>
      <c r="BS46" s="123">
        <v>5</v>
      </c>
      <c r="BT46" s="123">
        <f>(BS46/12*2*$E46*$G46*$H46*$N46*$BT$11)+(BS46/12*10*$F46*$G46*$H46*$N46*$BT$11)</f>
        <v>1042892.7936000002</v>
      </c>
      <c r="BU46" s="123"/>
      <c r="BV46" s="126">
        <f>(BU46/12*2*$E46*$G46*$H46*$M46*$BV$11)+(BU46/12*10*$F46*$G46*$H46*$M46*$BV$11)</f>
        <v>0</v>
      </c>
      <c r="BW46" s="123"/>
      <c r="BX46" s="123">
        <f>(BW46/12*2*$E46*$G46*$H46*$M46*$BX$11)+(BW46/12*10*$F46*$G46*$H46*$M46*$BX$11)</f>
        <v>0</v>
      </c>
      <c r="BY46" s="123"/>
      <c r="BZ46" s="123">
        <f>(BY46/12*2*$E46*$G46*$H46*$M46*$BZ$11)+(BY46/12*10*$F46*$G46*$H46*$M46*$BZ$11)</f>
        <v>0</v>
      </c>
      <c r="CA46" s="123">
        <v>4</v>
      </c>
      <c r="CB46" s="123">
        <f>(CA46/12*2*$E46*$G46*$H46*$M46*$CB$11)+(CA46/12*10*$F46*$G46*$H46*$M46*$CB$11)</f>
        <v>834314.23487999989</v>
      </c>
      <c r="CC46" s="123"/>
      <c r="CD46" s="123">
        <f>(CC46/12*2*$E46*$G46*$H46*$M46*$CD$11)+(CC46/12*10*$F46*$G46*$H46*$M46*$CD$11)</f>
        <v>0</v>
      </c>
      <c r="CE46" s="123">
        <v>1</v>
      </c>
      <c r="CF46" s="123">
        <f>(CE46/12*10*$F46*$G46*$H46*$N46*$CF$11)</f>
        <v>175206.75200000001</v>
      </c>
      <c r="CG46" s="132">
        <v>1</v>
      </c>
      <c r="CH46" s="123">
        <f>(CG46/12*2*$E46*$G46*$H46*$N46*$CH$11)+(CG46/12*10*$F46*$G46*$H46*$N46*$CH$11)</f>
        <v>187720.70284800002</v>
      </c>
      <c r="CI46" s="123"/>
      <c r="CJ46" s="127">
        <f t="shared" si="22"/>
        <v>0</v>
      </c>
      <c r="CK46" s="123"/>
      <c r="CL46" s="123">
        <f>(CK46/12*2*$E46*$G46*$H46*$N46*$CL$11)+(CK46/12*10*$F46*$G46*$H46*$N46*$CL$12)</f>
        <v>0</v>
      </c>
      <c r="CM46" s="130"/>
      <c r="CN46" s="123">
        <f>(CM46/12*2*$E46*$G46*$H46*$N46*$CN$11)+(CM46/12*10*$F46*$G46*$H46*$N46*$CN$11)</f>
        <v>0</v>
      </c>
      <c r="CO46" s="123"/>
      <c r="CP46" s="123">
        <f>(CO46/12*2*$E46*$G46*$H46*$N46*$CP$11)+(CO46/12*10*$F46*$G46*$H46*$N46*$CP$11)</f>
        <v>0</v>
      </c>
      <c r="CQ46" s="123"/>
      <c r="CR46" s="123">
        <f>(CQ46/12*2*$E46*$G46*$H46*$O46*$CR$11)+(CQ46/12*10*$F46*$G46*$H46*$O46*$CR$11)</f>
        <v>0</v>
      </c>
      <c r="CS46" s="123">
        <v>1</v>
      </c>
      <c r="CT46" s="133">
        <f>(CS46/12*2*$E46*$G46*$H46*$P46*$CT$11)+(CS46/12*10*$F46*$G46*$H46*$P46*$CT$11)</f>
        <v>319075.53327999997</v>
      </c>
      <c r="CU46" s="127"/>
      <c r="CV46" s="127"/>
      <c r="CW46" s="126">
        <f t="shared" si="23"/>
        <v>125</v>
      </c>
      <c r="CX46" s="126">
        <f t="shared" si="23"/>
        <v>25980538.399872001</v>
      </c>
    </row>
    <row r="47" spans="1:102" ht="18.75" x14ac:dyDescent="0.25">
      <c r="A47" s="91"/>
      <c r="B47" s="116">
        <v>29</v>
      </c>
      <c r="C47" s="117" t="s">
        <v>182</v>
      </c>
      <c r="D47" s="118" t="s">
        <v>183</v>
      </c>
      <c r="E47" s="95">
        <v>28004</v>
      </c>
      <c r="F47" s="96">
        <v>29405</v>
      </c>
      <c r="G47" s="119">
        <v>4.5</v>
      </c>
      <c r="H47" s="110">
        <v>0.9</v>
      </c>
      <c r="I47" s="203">
        <v>0.85</v>
      </c>
      <c r="J47" s="108"/>
      <c r="K47" s="108"/>
      <c r="L47" s="63"/>
      <c r="M47" s="120">
        <v>1.4</v>
      </c>
      <c r="N47" s="120">
        <v>1.68</v>
      </c>
      <c r="O47" s="120">
        <v>2.23</v>
      </c>
      <c r="P47" s="121">
        <v>2.57</v>
      </c>
      <c r="Q47" s="122">
        <v>36</v>
      </c>
      <c r="R47" s="123">
        <f>(Q47/12*2*$E47*$G47*$H47*$M47*$R$11)+(Q47/12*10*$F47*$G47*$I47*$M47*$R$11)</f>
        <v>6244270.2630000003</v>
      </c>
      <c r="S47" s="124"/>
      <c r="T47" s="125">
        <f>(S47/12*2*$E47*$G47*$H47*$M47*$R$11)+(S47/12*10*$F47*$G47*$I47*$M47*$R$11)</f>
        <v>0</v>
      </c>
      <c r="U47" s="123">
        <v>52</v>
      </c>
      <c r="V47" s="123">
        <f>(U47/12*2*$E47*$G47*$H47*$M47*$V$11)+(U47/12*10*$F47*$G47*$I47*$M47*$V$12)</f>
        <v>11001725.416499998</v>
      </c>
      <c r="W47" s="123"/>
      <c r="X47" s="126">
        <f>(W47/12*2*$E47*$G47*$H47*$M47*$X$11)+(W47/12*10*$F47*$G47*$I47*$M47*$X$12)</f>
        <v>0</v>
      </c>
      <c r="Y47" s="123"/>
      <c r="Z47" s="123">
        <f>(Y47/12*2*$E47*$G47*$H47*$M47*$Z$11)+(Y47/12*10*$F47*$G47*$I47*$M47*$Z$12)</f>
        <v>0</v>
      </c>
      <c r="AA47" s="123"/>
      <c r="AB47" s="123">
        <f>(AA47/12*2*$E47*$G47*$H47*$M47*$AB$11)+(AA47/12*10*$F47*$G47*$I47*$M47*$AB$11)</f>
        <v>0</v>
      </c>
      <c r="AC47" s="123"/>
      <c r="AD47" s="123"/>
      <c r="AE47" s="123"/>
      <c r="AF47" s="123">
        <f>(AE47/12*2*$E47*$G47*$H47*$M47*$AF$11)+(AE47/12*10*$F47*$G47*$I47*$M47*$AF$11)</f>
        <v>0</v>
      </c>
      <c r="AG47" s="135">
        <v>0</v>
      </c>
      <c r="AH47" s="136">
        <f>(AG47/12*2*$E47*$G47*$H47*$M47*$AH$11)+(AG47/12*10*$F47*$G47*$I47*$M47*$AH$11)</f>
        <v>0</v>
      </c>
      <c r="AI47" s="123"/>
      <c r="AJ47" s="123">
        <f>(AI47/12*2*$E47*$G47*$H47*$M47*$AJ$11)+(AI47/12*5*$F47*$G47*$I47*$M47*$AJ$12)+(AI47/12*5*$F47*$G47*$I47*$M47*$AJ$13)</f>
        <v>0</v>
      </c>
      <c r="AK47" s="123">
        <v>17</v>
      </c>
      <c r="AL47" s="123">
        <f>(AK47/12*2*$E47*$G47*$H47*$N47*$AL$11)+(AK47/12*5*$F47*$G47*$I47*$N47*$AL$12)+(AK47/12*5*$F47*$G47*$I47*$N47*$AL$13)</f>
        <v>4155000.0313500008</v>
      </c>
      <c r="AM47" s="132"/>
      <c r="AN47" s="123">
        <f>(AM47/12*2*$E47*$G47*$H47*$N47*$AN$11)+(AM47/12*10*$F47*$G47*$I47*$N47*$AN$12)</f>
        <v>0</v>
      </c>
      <c r="AO47" s="130">
        <v>1</v>
      </c>
      <c r="AP47" s="127">
        <f>(AO47/12*2*$E47*$G47*$H47*$N47*$AP$11)+(AO47/12*10*$F47*$G47*$I47*$N47*$AP$11)</f>
        <v>208142.34209999998</v>
      </c>
      <c r="AQ47" s="127">
        <v>1</v>
      </c>
      <c r="AR47" s="127">
        <v>207852.18</v>
      </c>
      <c r="AS47" s="123"/>
      <c r="AT47" s="123"/>
      <c r="AU47" s="123"/>
      <c r="AV47" s="126"/>
      <c r="AW47" s="123"/>
      <c r="AX47" s="123">
        <f>(AW47/12*2*$E47*$G47*$H47*$M47*$AX$11)+(AW47/12*10*$F47*$G47*$I47*$M47*$AX$12)</f>
        <v>0</v>
      </c>
      <c r="AY47" s="123">
        <v>3</v>
      </c>
      <c r="AZ47" s="123">
        <f>(AY47/12*2*$E47*$G47*$H47*$N47*$AZ$11)+(AY47/12*10*$F47*$G47*$I47*$N47*$AZ$11)</f>
        <v>624427.02630000003</v>
      </c>
      <c r="BA47" s="123">
        <v>32</v>
      </c>
      <c r="BB47" s="123">
        <f>(BA47/12*2*$E47*$G47*$H47*$N47*$BB$11)+(BA47/12*10*$F47*$G47*$I47*$N47*$BB$12)</f>
        <v>5853496.3199999984</v>
      </c>
      <c r="BC47" s="123"/>
      <c r="BD47" s="126"/>
      <c r="BE47" s="123"/>
      <c r="BF47" s="123">
        <f>(BE47/12*10*$F47*$G47*$I47*$N47*$BF$12)</f>
        <v>0</v>
      </c>
      <c r="BG47" s="123"/>
      <c r="BH47" s="123">
        <f>(BG47/12*2*$E47*$G47*$H47*$N47*$BH$11)+(BG47/12*10*$F47*$G47*$I47*$N47*$BH$11)</f>
        <v>0</v>
      </c>
      <c r="BI47" s="123">
        <v>2</v>
      </c>
      <c r="BJ47" s="126">
        <f>(BI47/12*2*$E47*$G47*$H47*$N47*$BJ$11)+(BI47/12*10*$F47*$G47*$I47*$N47*$BJ$11)</f>
        <v>454128.74639999989</v>
      </c>
      <c r="BK47" s="123">
        <v>1</v>
      </c>
      <c r="BL47" s="127">
        <f>(BK47/12*2*$E47*$G47*$H47*$N47*$BL$11)+(BK47/12*10*$F47*$G47*$I47*$N47*$BL$11)</f>
        <v>227064.37319999994</v>
      </c>
      <c r="BM47" s="123"/>
      <c r="BN47" s="123">
        <f>(BM47/12*2*$E47*$G47*$H47*$M47*$BN$11)+(BM47/12*10*$F47*$G47*$I47*$M47*$BN$11)</f>
        <v>0</v>
      </c>
      <c r="BO47" s="123"/>
      <c r="BP47" s="123">
        <f>(BO47/12*2*$E47*$G47*$H47*$M47*$BP$11)+(BO47/12*10*$F47*$G47*$I47*$M47*$BP$12)</f>
        <v>0</v>
      </c>
      <c r="BQ47" s="123"/>
      <c r="BR47" s="123">
        <f>(BQ47/12*2*$E47*$G47*$H47*$M47*$BR$11)+(BQ47/12*10*$F47*$G47*$I47*$M47*$BR$11)</f>
        <v>0</v>
      </c>
      <c r="BS47" s="123"/>
      <c r="BT47" s="123">
        <f>(BS47/12*2*$E47*$G47*$H47*$N47*$BT$11)+(BS47/12*10*$F47*$G47*$I47*$N47*$BT$11)</f>
        <v>0</v>
      </c>
      <c r="BU47" s="123"/>
      <c r="BV47" s="126">
        <f>(BU47/12*2*$E47*$G47*$H47*$M47*$BV$11)+(BU47/12*10*$F47*$G47*$I47*$M47*$BV$11)</f>
        <v>0</v>
      </c>
      <c r="BW47" s="123"/>
      <c r="BX47" s="123">
        <f>(BW47/12*2*$E47*$G47*$H47*$M47*$BX$11)+(BW47/12*10*$F47*$G47*$I47*$M47*$BX$11)</f>
        <v>0</v>
      </c>
      <c r="BY47" s="123"/>
      <c r="BZ47" s="123">
        <f>(BY47/12*2*$E47*$G47*$H47*$M47*$BZ$11)+(BY47/12*10*$F47*$G47*$I47*$M47*$BZ$11)</f>
        <v>0</v>
      </c>
      <c r="CA47" s="123"/>
      <c r="CB47" s="123">
        <f>(CA47/12*2*$E47*$G47*$H47*$M47*$CB$11)+(CA47/12*10*$F47*$G47*$I47*$M47*$CB$11)</f>
        <v>0</v>
      </c>
      <c r="CC47" s="123"/>
      <c r="CD47" s="123">
        <f>(CC47/12*2*$E47*$G47*$H47*$M47*$CD$11)+(CC47/12*10*$F47*$G47*$I47*$M47*$CD$11)</f>
        <v>0</v>
      </c>
      <c r="CE47" s="123">
        <v>1</v>
      </c>
      <c r="CF47" s="123">
        <f>(CE47/12*10*$F47*$G47*$I47*$N47*$CF$11)</f>
        <v>157463.77499999997</v>
      </c>
      <c r="CG47" s="132"/>
      <c r="CH47" s="123">
        <f>(CG47/12*2*$E47*$G47*$H47*$N47*$CH$11)+(CG47/12*10*$F47*$G47*$I47*$N47*$CH$11)</f>
        <v>0</v>
      </c>
      <c r="CI47" s="123"/>
      <c r="CJ47" s="127"/>
      <c r="CK47" s="123"/>
      <c r="CL47" s="123">
        <f>(CK47/12*2*$E47*$G47*$H47*$N47*$CL$11)+(CK47/12*10*$F47*$G47*$I47*$N47*$CL$12)</f>
        <v>0</v>
      </c>
      <c r="CM47" s="130"/>
      <c r="CN47" s="123">
        <f>(CM47/12*2*$E47*$G47*$H47*$N47*$CN$11)+(CM47/12*10*$F47*$G47*$I47*$N47*$CN$11)</f>
        <v>0</v>
      </c>
      <c r="CO47" s="123"/>
      <c r="CP47" s="123">
        <f>(CO47/12*2*$E47*$G47*$H47*$N47*$CP$11)+(CO47/12*10*$F47*$G47*$I47*$N47*$CP$11)</f>
        <v>0</v>
      </c>
      <c r="CQ47" s="123"/>
      <c r="CR47" s="123">
        <f>(CQ47/12*2*$E47*$G47*$H47*$O47*$CR$11)+(CQ47/12*10*$F47*$G47*$I47*$O47*$CR$11)</f>
        <v>0</v>
      </c>
      <c r="CS47" s="123"/>
      <c r="CT47" s="133">
        <f>(CS47/12*2*$E47*$G47*$H47*$P47*$CT$11)+(CS47/12*10*$F47*$G47*$I47*$P47*$CT$11)</f>
        <v>0</v>
      </c>
      <c r="CU47" s="127"/>
      <c r="CV47" s="127"/>
      <c r="CW47" s="126">
        <f t="shared" si="23"/>
        <v>146</v>
      </c>
      <c r="CX47" s="126">
        <f t="shared" si="23"/>
        <v>29133570.473849989</v>
      </c>
    </row>
    <row r="48" spans="1:102" ht="30" x14ac:dyDescent="0.25">
      <c r="A48" s="91"/>
      <c r="B48" s="116">
        <v>30</v>
      </c>
      <c r="C48" s="117" t="s">
        <v>184</v>
      </c>
      <c r="D48" s="118" t="s">
        <v>185</v>
      </c>
      <c r="E48" s="95">
        <v>28004</v>
      </c>
      <c r="F48" s="96">
        <v>29405</v>
      </c>
      <c r="G48" s="119">
        <v>1.0900000000000001</v>
      </c>
      <c r="H48" s="107">
        <v>1</v>
      </c>
      <c r="I48" s="108"/>
      <c r="J48" s="108"/>
      <c r="K48" s="108"/>
      <c r="L48" s="63"/>
      <c r="M48" s="120">
        <v>1.4</v>
      </c>
      <c r="N48" s="120">
        <v>1.68</v>
      </c>
      <c r="O48" s="120">
        <v>2.23</v>
      </c>
      <c r="P48" s="121">
        <v>2.57</v>
      </c>
      <c r="Q48" s="122">
        <v>16</v>
      </c>
      <c r="R48" s="123">
        <f>(Q48/12*2*$E48*$G48*$H48*$M48*$R$11)+(Q48/12*10*$F48*$G48*$H48*$M48*$R$11)</f>
        <v>783476.47840000002</v>
      </c>
      <c r="S48" s="124"/>
      <c r="T48" s="125">
        <f>(S48/12*2*$E48*$G48*$H48*$M48*$R$11)+(S48/12*10*$F48*$G48*$H48*$M48*$R$11)</f>
        <v>0</v>
      </c>
      <c r="U48" s="123">
        <v>4</v>
      </c>
      <c r="V48" s="123">
        <f>(U48/12*2*$E48*$G48*$H48*$M48*$V$11)+(U48/12*10*$F48*$G48*$H48*$M48*$V$12)</f>
        <v>238817.83006666665</v>
      </c>
      <c r="W48" s="123"/>
      <c r="X48" s="126">
        <f>(W48/12*2*$E48*$G48*$H48*$M48*$X$11)+(W48/12*10*$F48*$G48*$H48*$M48*$X$12)</f>
        <v>0</v>
      </c>
      <c r="Y48" s="123"/>
      <c r="Z48" s="123">
        <f>(Y48/12*2*$E48*$G48*$H48*$M48*$Z$11)+(Y48/12*10*$F48*$G48*$H48*$M48*$Z$12)</f>
        <v>0</v>
      </c>
      <c r="AA48" s="123"/>
      <c r="AB48" s="123">
        <f>(AA48/12*2*$E48*$G48*$H48*$M48*$AB$11)+(AA48/12*10*$F48*$G48*$H48*$M48*$AB$11)</f>
        <v>0</v>
      </c>
      <c r="AC48" s="123"/>
      <c r="AD48" s="123"/>
      <c r="AE48" s="123"/>
      <c r="AF48" s="127">
        <f>(AE48/12*2*$E48*$G48*$H48*$M48*$AF$11)+(AE48/12*10*$F48*$G48*$H48*$M48*$AF$11)</f>
        <v>0</v>
      </c>
      <c r="AG48" s="123">
        <v>7</v>
      </c>
      <c r="AH48" s="126">
        <f>(AG48/12*2*$E48*$G48*$H48*$M48*$AH$11)+(AG48/12*10*$F48*$G48*$H48*$M48*$AH$11)</f>
        <v>342770.9593000001</v>
      </c>
      <c r="AI48" s="130"/>
      <c r="AJ48" s="123">
        <f t="shared" ref="AJ48:AJ50" si="24">(AI48/12*2*$E48*$G48*$H48*$M48*$AJ$11)+(AI48/12*5*$F48*$G48*$H48*$M48*$AJ$12)+(AI48/12*5*$F48*$G48*$H48*$M48*$AJ$13)</f>
        <v>0</v>
      </c>
      <c r="AK48" s="123">
        <v>3</v>
      </c>
      <c r="AL48" s="123">
        <f t="shared" ref="AL48:AL50" si="25">(AK48/12*2*$E48*$G48*$H48*$N48*$AL$11)+(AK48/12*5*$F48*$G48*$H48*$N48*$AL$12)++(AK48/12*5*$F48*$G48*$H48*$N48*$AL$13)</f>
        <v>206987.35722000001</v>
      </c>
      <c r="AM48" s="132"/>
      <c r="AN48" s="123">
        <f>(AM48/12*2*$E48*$G48*$H48*$N48*$AN$11)+(AM48/12*10*$F48*$G48*$H48*$N48*$AN$12)</f>
        <v>0</v>
      </c>
      <c r="AO48" s="130"/>
      <c r="AP48" s="127">
        <f>(AO48/12*2*$E48*$G48*$H48*$N48*$AP$11)+(AO48/12*10*$F48*$G48*$H48*$N48*$AP$11)</f>
        <v>0</v>
      </c>
      <c r="AQ48" s="127">
        <v>0</v>
      </c>
      <c r="AR48" s="127">
        <v>0</v>
      </c>
      <c r="AS48" s="123"/>
      <c r="AT48" s="123">
        <f>(AS48/12*2*$E48*$G48*$H48*$M48*$AT$11)+(AS48/12*10*$F48*$G48*$H48*$M48*$AT$11)</f>
        <v>0</v>
      </c>
      <c r="AU48" s="123"/>
      <c r="AV48" s="126">
        <f>(AU48/12*2*$E48*$G48*$H48*$M48*$AV$11)+(AU48/12*10*$F48*$G48*$H48*$M48*$AV$12)</f>
        <v>0</v>
      </c>
      <c r="AW48" s="123"/>
      <c r="AX48" s="123">
        <f>(AW48/12*2*$E48*$G48*$H48*$M48*$AX$11)+(AW48/12*10*$F48*$G48*$H48*$M48*$AX$12)</f>
        <v>0</v>
      </c>
      <c r="AY48" s="123"/>
      <c r="AZ48" s="123">
        <f>(AY48/12*2*$E48*$G48*$H48*$N48*$AZ$11)+(AY48/12*10*$F48*$G48*$H48*$N48*$AZ$11)</f>
        <v>0</v>
      </c>
      <c r="BA48" s="123"/>
      <c r="BB48" s="123">
        <f>(BA48/12*2*$E48*$G48*$H48*$N48*$BB$11)+(BA48/12*10*$F48*$G48*$H48*$N48*$BB$12)</f>
        <v>0</v>
      </c>
      <c r="BC48" s="123"/>
      <c r="BD48" s="126">
        <f>(BC48/12*2*$E48*$G48*$H48*$N48*$BD$11)+(BC48/12*10*$F48*$G48*$H48*$N48*$BD$12)</f>
        <v>0</v>
      </c>
      <c r="BE48" s="123"/>
      <c r="BF48" s="123">
        <f>(BE48/12*10*$F48*$G48*$H48*$N48*$BF$12)</f>
        <v>0</v>
      </c>
      <c r="BG48" s="123"/>
      <c r="BH48" s="123">
        <f>(BG48/12*2*$E48*$G48*$H48*$N48*$BH$11)+(BG48/12*10*$F48*$G48*$H48*$N48*$BH$11)</f>
        <v>0</v>
      </c>
      <c r="BI48" s="123"/>
      <c r="BJ48" s="126">
        <f>(BI48/12*2*$E48*$G48*$H48*$N48*$BJ$11)+(BI48/12*10*$F48*$G48*$H48*$N48*$BJ$11)</f>
        <v>0</v>
      </c>
      <c r="BK48" s="123">
        <v>1</v>
      </c>
      <c r="BL48" s="127">
        <f>(BK48/12*2*$E48*$G48*$H48*$N48*$BL$11)+(BK48/12*10*$F48*$G48*$H48*$N48*$BL$11)</f>
        <v>64102.620959999986</v>
      </c>
      <c r="BM48" s="123"/>
      <c r="BN48" s="123">
        <f>(BM48/12*2*$E48*$G48*$H48*$M48*$BN$11)+(BM48/12*10*$F48*$G48*$H48*$M48*$BN$11)</f>
        <v>0</v>
      </c>
      <c r="BO48" s="123"/>
      <c r="BP48" s="123">
        <f>(BO48/12*2*$E48*$G48*$H48*$M48*$BP$11)+(BO48/12*10*$F48*$G48*$H48*$M48*$BP$12)</f>
        <v>0</v>
      </c>
      <c r="BQ48" s="123"/>
      <c r="BR48" s="123">
        <f>(BQ48/12*2*$E48*$G48*$H48*$M48*$BR$11)+(BQ48/12*10*$F48*$G48*$H48*$M48*$BR$11)</f>
        <v>0</v>
      </c>
      <c r="BS48" s="123"/>
      <c r="BT48" s="123">
        <f>(BS48/12*2*$E48*$G48*$H48*$N48*$BT$11)+(BS48/12*10*$F48*$G48*$H48*$N48*$BT$11)</f>
        <v>0</v>
      </c>
      <c r="BU48" s="123"/>
      <c r="BV48" s="126">
        <f>(BU48/12*2*$E48*$G48*$H48*$M48*$BV$11)+(BU48/12*10*$F48*$G48*$H48*$M48*$BV$11)</f>
        <v>0</v>
      </c>
      <c r="BW48" s="123"/>
      <c r="BX48" s="123">
        <f>(BW48/12*2*$E48*$G48*$H48*$M48*$BX$11)+(BW48/12*10*$F48*$G48*$H48*$M48*$BX$11)</f>
        <v>0</v>
      </c>
      <c r="BY48" s="123"/>
      <c r="BZ48" s="123">
        <f>(BY48/12*2*$E48*$G48*$H48*$M48*$BZ$11)+(BY48/12*10*$F48*$G48*$H48*$M48*$BZ$11)</f>
        <v>0</v>
      </c>
      <c r="CA48" s="123"/>
      <c r="CB48" s="123">
        <f>(CA48/12*2*$E48*$G48*$H48*$M48*$CB$11)+(CA48/12*10*$F48*$G48*$H48*$M48*$CB$11)</f>
        <v>0</v>
      </c>
      <c r="CC48" s="123"/>
      <c r="CD48" s="123">
        <f>(CC48/12*2*$E48*$G48*$H48*$M48*$CD$11)+(CC48/12*10*$F48*$G48*$H48*$M48*$CD$11)</f>
        <v>0</v>
      </c>
      <c r="CE48" s="123"/>
      <c r="CF48" s="123">
        <f>(CE48/12*10*$F48*$G48*$H48*$N48*$CF$11)</f>
        <v>0</v>
      </c>
      <c r="CG48" s="132"/>
      <c r="CH48" s="123">
        <f>(CG48/12*2*$E48*$G48*$H48*$N48*$CH$11)+(CG48/12*10*$F48*$G48*$H48*$N48*$CH$11)</f>
        <v>0</v>
      </c>
      <c r="CI48" s="123"/>
      <c r="CJ48" s="127">
        <f t="shared" si="22"/>
        <v>0</v>
      </c>
      <c r="CK48" s="123"/>
      <c r="CL48" s="123">
        <f>(CK48/12*2*$E48*$G48*$H48*$N48*$CL$11)+(CK48/12*10*$F48*$G48*$H48*$N48*$CL$12)</f>
        <v>0</v>
      </c>
      <c r="CM48" s="130"/>
      <c r="CN48" s="123">
        <f>(CM48/12*2*$E48*$G48*$H48*$N48*$CN$11)+(CM48/12*10*$F48*$G48*$H48*$N48*$CN$11)</f>
        <v>0</v>
      </c>
      <c r="CO48" s="123"/>
      <c r="CP48" s="123">
        <f>(CO48/12*2*$E48*$G48*$H48*$N48*$CP$11)+(CO48/12*10*$F48*$G48*$H48*$N48*$CP$11)</f>
        <v>0</v>
      </c>
      <c r="CQ48" s="123"/>
      <c r="CR48" s="123">
        <f>(CQ48/12*2*$E48*$G48*$H48*$O48*$CR$11)+(CQ48/12*10*$F48*$G48*$H48*$O48*$CR$11)</f>
        <v>0</v>
      </c>
      <c r="CS48" s="123"/>
      <c r="CT48" s="133">
        <f>(CS48/12*2*$E48*$G48*$H48*$P48*$CT$11)+(CS48/12*10*$F48*$G48*$H48*$P48*$CT$11)</f>
        <v>0</v>
      </c>
      <c r="CU48" s="127"/>
      <c r="CV48" s="127"/>
      <c r="CW48" s="126">
        <f t="shared" si="23"/>
        <v>31</v>
      </c>
      <c r="CX48" s="126">
        <f t="shared" si="23"/>
        <v>1636155.2459466667</v>
      </c>
    </row>
    <row r="49" spans="1:102" ht="36.75" customHeight="1" x14ac:dyDescent="0.25">
      <c r="A49" s="91"/>
      <c r="B49" s="116">
        <v>31</v>
      </c>
      <c r="C49" s="117" t="s">
        <v>186</v>
      </c>
      <c r="D49" s="118" t="s">
        <v>187</v>
      </c>
      <c r="E49" s="95">
        <v>28004</v>
      </c>
      <c r="F49" s="96">
        <v>29405</v>
      </c>
      <c r="G49" s="152">
        <v>4.51</v>
      </c>
      <c r="H49" s="107">
        <v>1</v>
      </c>
      <c r="I49" s="108"/>
      <c r="J49" s="108"/>
      <c r="K49" s="108"/>
      <c r="L49" s="63"/>
      <c r="M49" s="120">
        <v>1.4</v>
      </c>
      <c r="N49" s="120">
        <v>1.68</v>
      </c>
      <c r="O49" s="120">
        <v>2.23</v>
      </c>
      <c r="P49" s="121">
        <v>2.57</v>
      </c>
      <c r="Q49" s="122">
        <v>5</v>
      </c>
      <c r="R49" s="123">
        <f>(Q49/12*2*$E49*$G49*$H49*$M49*$R$11)+(Q49/12*10*$F49*$G49*$H49*$M49*$R$11)</f>
        <v>1013038.6805</v>
      </c>
      <c r="S49" s="124"/>
      <c r="T49" s="125">
        <f>(S49/12*2*$E49*$G49*$H49*$M49*$R$11)+(S49/12*10*$F49*$G49*$H49*$M49*$R$11)</f>
        <v>0</v>
      </c>
      <c r="U49" s="123"/>
      <c r="V49" s="123">
        <f>(U49/12*2*$E49*$G49*$H49*$M49*$V$11)+(U49/12*10*$F49*$G49*$H49*$M49*$V$12)</f>
        <v>0</v>
      </c>
      <c r="W49" s="123"/>
      <c r="X49" s="126">
        <f>(W49/12*2*$E49*$G49*$H49*$M49*$X$11)+(W49/12*10*$F49*$G49*$H49*$M49*$X$12)</f>
        <v>0</v>
      </c>
      <c r="Y49" s="123"/>
      <c r="Z49" s="123">
        <f>(Y49/12*2*$E49*$G49*$H49*$M49*$Z$11)+(Y49/12*10*$F49*$G49*$H49*$M49*$Z$12)</f>
        <v>0</v>
      </c>
      <c r="AA49" s="123"/>
      <c r="AB49" s="123">
        <f>(AA49/12*2*$E49*$G49*$H49*$M49*$AB$11)+(AA49/12*10*$F49*$G49*$H49*$M49*$AB$11)</f>
        <v>0</v>
      </c>
      <c r="AC49" s="123"/>
      <c r="AD49" s="123"/>
      <c r="AE49" s="123"/>
      <c r="AF49" s="123">
        <f>(AE49/12*2*$E49*$G49*$H49*$M49*$AF$11)+(AE49/12*10*$F49*$G49*$H49*$M49*$AF$11)</f>
        <v>0</v>
      </c>
      <c r="AG49" s="135">
        <v>0</v>
      </c>
      <c r="AH49" s="136">
        <f>(AG49/12*2*$E49*$G49*$H49*$M49*$AH$11)+(AG49/12*10*$F49*$G49*$H49*$M49*$AH$11)</f>
        <v>0</v>
      </c>
      <c r="AI49" s="123"/>
      <c r="AJ49" s="123">
        <f t="shared" si="24"/>
        <v>0</v>
      </c>
      <c r="AK49" s="123">
        <v>8</v>
      </c>
      <c r="AL49" s="123">
        <f t="shared" si="25"/>
        <v>2283823.80688</v>
      </c>
      <c r="AM49" s="132"/>
      <c r="AN49" s="123">
        <f>(AM49/12*2*$E49*$G49*$H49*$N49*$AN$11)+(AM49/12*10*$F49*$G49*$H49*$N49*$AN$12)</f>
        <v>0</v>
      </c>
      <c r="AO49" s="130"/>
      <c r="AP49" s="127">
        <f>(AO49/12*2*$E49*$G49*$H49*$N49*$AP$11)+(AO49/12*10*$F49*$G49*$H49*$N49*$AP$11)</f>
        <v>0</v>
      </c>
      <c r="AQ49" s="127">
        <v>0</v>
      </c>
      <c r="AR49" s="127">
        <v>0</v>
      </c>
      <c r="AS49" s="123"/>
      <c r="AT49" s="123">
        <f>(AS49/12*2*$E49*$G49*$H49*$M49*$AT$11)+(AS49/12*10*$F49*$G49*$H49*$M49*$AT$11)</f>
        <v>0</v>
      </c>
      <c r="AU49" s="123"/>
      <c r="AV49" s="126">
        <f>(AU49/12*2*$E49*$G49*$H49*$M49*$AV$11)+(AU49/12*10*$F49*$G49*$H49*$M49*$AV$12)</f>
        <v>0</v>
      </c>
      <c r="AW49" s="123"/>
      <c r="AX49" s="123">
        <f>(AW49/12*2*$E49*$G49*$H49*$M49*$AX$11)+(AW49/12*10*$F49*$G49*$H49*$M49*$AX$12)</f>
        <v>0</v>
      </c>
      <c r="AY49" s="123"/>
      <c r="AZ49" s="123">
        <f>(AY49/12*2*$E49*$G49*$H49*$N49*$AZ$11)+(AY49/12*10*$F49*$G49*$H49*$N49*$AZ$11)</f>
        <v>0</v>
      </c>
      <c r="BA49" s="123"/>
      <c r="BB49" s="123">
        <f>(BA49/12*2*$E49*$G49*$H49*$N49*$BB$11)+(BA49/12*10*$F49*$G49*$H49*$N49*$BB$12)</f>
        <v>0</v>
      </c>
      <c r="BC49" s="123"/>
      <c r="BD49" s="126">
        <f>(BC49/12*2*$E49*$G49*$H49*$N49*$BD$11)+(BC49/12*10*$F49*$G49*$H49*$N49*$BD$12)</f>
        <v>0</v>
      </c>
      <c r="BE49" s="123"/>
      <c r="BF49" s="123">
        <f>(BE49/12*10*$F49*$G49*$H49*$N49*$BF$12)</f>
        <v>0</v>
      </c>
      <c r="BG49" s="123"/>
      <c r="BH49" s="123">
        <f>(BG49/12*2*$E49*$G49*$H49*$N49*$BH$11)+(BG49/12*10*$F49*$G49*$H49*$N49*$BH$11)</f>
        <v>0</v>
      </c>
      <c r="BI49" s="123"/>
      <c r="BJ49" s="126">
        <f>(BI49/12*2*$E49*$G49*$H49*$N49*$BJ$11)+(BI49/12*10*$F49*$G49*$H49*$N49*$BJ$11)</f>
        <v>0</v>
      </c>
      <c r="BK49" s="123"/>
      <c r="BL49" s="127">
        <f>(BK49/12*2*$E49*$G49*$H49*$N49*$BL$11)+(BK49/12*10*$F49*$G49*$H49*$N49*$BL$11)</f>
        <v>0</v>
      </c>
      <c r="BM49" s="123"/>
      <c r="BN49" s="123">
        <f>(BM49/12*2*$E49*$G49*$H49*$M49*$BN$11)+(BM49/12*10*$F49*$G49*$H49*$M49*$BN$11)</f>
        <v>0</v>
      </c>
      <c r="BO49" s="123"/>
      <c r="BP49" s="123">
        <f>(BO49/12*2*$E49*$G49*$H49*$M49*$BP$11)+(BO49/12*10*$F49*$G49*$H49*$M49*$BP$12)</f>
        <v>0</v>
      </c>
      <c r="BQ49" s="123"/>
      <c r="BR49" s="123">
        <f>(BQ49/12*2*$E49*$G49*$H49*$M49*$BR$11)+(BQ49/12*10*$F49*$G49*$H49*$M49*$BR$11)</f>
        <v>0</v>
      </c>
      <c r="BS49" s="123"/>
      <c r="BT49" s="123">
        <f>(BS49/12*2*$E49*$G49*$H49*$N49*$BT$11)+(BS49/12*10*$F49*$G49*$H49*$N49*$BT$11)</f>
        <v>0</v>
      </c>
      <c r="BU49" s="123"/>
      <c r="BV49" s="126">
        <f>(BU49/12*2*$E49*$G49*$H49*$M49*$BV$11)+(BU49/12*10*$F49*$G49*$H49*$M49*$BV$11)</f>
        <v>0</v>
      </c>
      <c r="BW49" s="123"/>
      <c r="BX49" s="123">
        <f>(BW49/12*2*$E49*$G49*$H49*$M49*$BX$11)+(BW49/12*10*$F49*$G49*$H49*$M49*$BX$11)</f>
        <v>0</v>
      </c>
      <c r="BY49" s="123"/>
      <c r="BZ49" s="123">
        <f>(BY49/12*2*$E49*$G49*$H49*$M49*$BZ$11)+(BY49/12*10*$F49*$G49*$H49*$M49*$BZ$11)</f>
        <v>0</v>
      </c>
      <c r="CA49" s="123"/>
      <c r="CB49" s="123">
        <f>(CA49/12*2*$E49*$G49*$H49*$M49*$CB$11)+(CA49/12*10*$F49*$G49*$H49*$M49*$CB$11)</f>
        <v>0</v>
      </c>
      <c r="CC49" s="123"/>
      <c r="CD49" s="123">
        <f>(CC49/12*2*$E49*$G49*$H49*$M49*$CD$11)+(CC49/12*10*$F49*$G49*$H49*$M49*$CD$11)</f>
        <v>0</v>
      </c>
      <c r="CE49" s="123"/>
      <c r="CF49" s="123">
        <f>(CE49/12*10*$F49*$G49*$H49*$N49*$CF$11)</f>
        <v>0</v>
      </c>
      <c r="CG49" s="132"/>
      <c r="CH49" s="123">
        <f>(CG49/12*2*$E49*$G49*$H49*$N49*$CH$11)+(CG49/12*10*$F49*$G49*$H49*$N49*$CH$11)</f>
        <v>0</v>
      </c>
      <c r="CI49" s="123"/>
      <c r="CJ49" s="127">
        <f t="shared" si="22"/>
        <v>0</v>
      </c>
      <c r="CK49" s="123"/>
      <c r="CL49" s="123">
        <f>(CK49/12*2*$E49*$G49*$H49*$N49*$CL$11)+(CK49/12*10*$F49*$G49*$H49*$N49*$CL$12)</f>
        <v>0</v>
      </c>
      <c r="CM49" s="130"/>
      <c r="CN49" s="123">
        <f>(CM49/12*2*$E49*$G49*$H49*$N49*$CN$11)+(CM49/12*10*$F49*$G49*$H49*$N49*$CN$11)</f>
        <v>0</v>
      </c>
      <c r="CO49" s="123"/>
      <c r="CP49" s="123">
        <f>(CO49/12*2*$E49*$G49*$H49*$N49*$CP$11)+(CO49/12*10*$F49*$G49*$H49*$N49*$CP$11)</f>
        <v>0</v>
      </c>
      <c r="CQ49" s="123"/>
      <c r="CR49" s="123">
        <f>(CQ49/12*2*$E49*$G49*$H49*$O49*$CR$11)+(CQ49/12*10*$F49*$G49*$H49*$O49*$CR$11)</f>
        <v>0</v>
      </c>
      <c r="CS49" s="123"/>
      <c r="CT49" s="133">
        <f>(CS49/12*2*$E49*$G49*$H49*$P49*$CT$11)+(CS49/12*10*$F49*$G49*$H49*$P49*$CT$11)</f>
        <v>0</v>
      </c>
      <c r="CU49" s="127"/>
      <c r="CV49" s="127"/>
      <c r="CW49" s="126">
        <f t="shared" si="23"/>
        <v>13</v>
      </c>
      <c r="CX49" s="126">
        <f t="shared" si="23"/>
        <v>3296862.4873799998</v>
      </c>
    </row>
    <row r="50" spans="1:102" ht="45.75" customHeight="1" x14ac:dyDescent="0.25">
      <c r="A50" s="91"/>
      <c r="B50" s="116">
        <v>32</v>
      </c>
      <c r="C50" s="118" t="s">
        <v>188</v>
      </c>
      <c r="D50" s="118" t="s">
        <v>189</v>
      </c>
      <c r="E50" s="95">
        <v>28004</v>
      </c>
      <c r="F50" s="96">
        <v>29405</v>
      </c>
      <c r="G50" s="119">
        <v>2.0499999999999998</v>
      </c>
      <c r="H50" s="107">
        <v>1</v>
      </c>
      <c r="I50" s="108"/>
      <c r="J50" s="108"/>
      <c r="K50" s="108"/>
      <c r="L50" s="63"/>
      <c r="M50" s="120">
        <v>1.4</v>
      </c>
      <c r="N50" s="120">
        <v>1.68</v>
      </c>
      <c r="O50" s="120">
        <v>2.23</v>
      </c>
      <c r="P50" s="121">
        <v>2.57</v>
      </c>
      <c r="Q50" s="122">
        <v>0</v>
      </c>
      <c r="R50" s="123">
        <f>(Q50/12*2*$E50*$G50*$H50*$M50*$R$11)+(Q50/12*10*$F50*$G50*$H50*$M50*$R$11)</f>
        <v>0</v>
      </c>
      <c r="S50" s="124"/>
      <c r="T50" s="125">
        <f>(S50/12*2*$E50*$G50*$H50*$M50*$R$11)+(S50/12*10*$F50*$G50*$H50*$M50*$R$11)</f>
        <v>0</v>
      </c>
      <c r="U50" s="123"/>
      <c r="V50" s="123">
        <f>(U50/12*2*$E50*$G50*$H50*$M50*$V$11)+(U50/12*10*$F50*$G50*$H50*$M50*$V$12)</f>
        <v>0</v>
      </c>
      <c r="W50" s="123"/>
      <c r="X50" s="126">
        <f>(W50/12*2*$E50*$G50*$H50*$M50*$X$11)+(W50/12*10*$F50*$G50*$H50*$M50*$X$12)</f>
        <v>0</v>
      </c>
      <c r="Y50" s="123"/>
      <c r="Z50" s="123">
        <f>(Y50/12*2*$E50*$G50*$H50*$M50*$Z$11)+(Y50/12*10*$F50*$G50*$H50*$M50*$Z$12)</f>
        <v>0</v>
      </c>
      <c r="AA50" s="123"/>
      <c r="AB50" s="123">
        <f>(AA50/12*2*$E50*$G50*$H50*$M50*$AB$11)+(AA50/12*10*$F50*$G50*$H50*$M50*$AB$11)</f>
        <v>0</v>
      </c>
      <c r="AC50" s="123"/>
      <c r="AD50" s="123"/>
      <c r="AE50" s="123"/>
      <c r="AF50" s="123">
        <f>(AE50/12*2*$E50*$G50*$H50*$M50*$AF$11)+(AE50/12*10*$F50*$G50*$H50*$M50*$AF$11)</f>
        <v>0</v>
      </c>
      <c r="AG50" s="123">
        <v>0</v>
      </c>
      <c r="AH50" s="126">
        <f>(AG50/12*2*$E50*$G50*$H50*$M50*$AH$11)+(AG50/12*10*$F50*$G50*$H50*$M50*$AH$11)</f>
        <v>0</v>
      </c>
      <c r="AI50" s="123"/>
      <c r="AJ50" s="123">
        <f t="shared" si="24"/>
        <v>0</v>
      </c>
      <c r="AK50" s="123"/>
      <c r="AL50" s="123">
        <f t="shared" si="25"/>
        <v>0</v>
      </c>
      <c r="AM50" s="132"/>
      <c r="AN50" s="123">
        <f>(AM50/12*2*$E50*$G50*$H50*$N50*$AN$11)+(AM50/12*10*$F50*$G50*$H50*$N50*$AN$12)</f>
        <v>0</v>
      </c>
      <c r="AO50" s="130"/>
      <c r="AP50" s="127">
        <f>(AO50/12*2*$E50*$G50*$H50*$N50*$AP$11)+(AO50/12*10*$F50*$G50*$H50*$N50*$AP$11)</f>
        <v>0</v>
      </c>
      <c r="AQ50" s="127">
        <v>0</v>
      </c>
      <c r="AR50" s="127">
        <v>0</v>
      </c>
      <c r="AS50" s="123"/>
      <c r="AT50" s="123">
        <f>(AS50/12*2*$E50*$G50*$H50*$M50*$AT$11)+(AS50/12*10*$F50*$G50*$H50*$M50*$AT$11)</f>
        <v>0</v>
      </c>
      <c r="AU50" s="123"/>
      <c r="AV50" s="126">
        <f>(AU50/12*2*$E50*$G50*$H50*$M50*$AV$11)+(AU50/12*10*$F50*$G50*$H50*$M50*$AV$12)</f>
        <v>0</v>
      </c>
      <c r="AW50" s="123"/>
      <c r="AX50" s="123">
        <f>(AW50/12*2*$E50*$G50*$H50*$M50*$AX$11)+(AW50/12*10*$F50*$G50*$H50*$M50*$AX$12)</f>
        <v>0</v>
      </c>
      <c r="AY50" s="123">
        <v>0</v>
      </c>
      <c r="AZ50" s="123">
        <f>(AY50/12*2*$E50*$G50*$H50*$N50*$AZ$11)+(AY50/12*10*$F50*$G50*$H50*$N50*$AZ$11)</f>
        <v>0</v>
      </c>
      <c r="BA50" s="123"/>
      <c r="BB50" s="123">
        <f>(BA50/12*2*$E50*$G50*$H50*$N50*$BB$11)+(BA50/12*10*$F50*$G50*$H50*$N50*$BB$12)</f>
        <v>0</v>
      </c>
      <c r="BC50" s="123"/>
      <c r="BD50" s="126">
        <f>(BC50/12*2*$E50*$G50*$H50*$N50*$BD$11)+(BC50/12*10*$F50*$G50*$H50*$N50*$BD$12)</f>
        <v>0</v>
      </c>
      <c r="BE50" s="123"/>
      <c r="BF50" s="123">
        <f>(BE50/12*10*$F50*$G50*$H50*$N50*$BF$12)</f>
        <v>0</v>
      </c>
      <c r="BG50" s="123"/>
      <c r="BH50" s="123">
        <f>(BG50/12*2*$E50*$G50*$H50*$N50*$BH$11)+(BG50/12*10*$F50*$G50*$H50*$N50*$BH$11)</f>
        <v>0</v>
      </c>
      <c r="BI50" s="123"/>
      <c r="BJ50" s="126">
        <f>(BI50/12*2*$E50*$G50*$H50*$N50*$BJ$11)+(BI50/12*10*$F50*$G50*$H50*$N50*$BJ$11)</f>
        <v>0</v>
      </c>
      <c r="BK50" s="123"/>
      <c r="BL50" s="127">
        <f>(BK50/12*2*$E50*$G50*$H50*$N50*$BL$11)+(BK50/12*10*$F50*$G50*$H50*$N50*$BL$11)</f>
        <v>0</v>
      </c>
      <c r="BM50" s="123"/>
      <c r="BN50" s="123">
        <f>(BM50/12*2*$E50*$G50*$H50*$M50*$BN$11)+(BM50/12*10*$F50*$G50*$H50*$M50*$BN$11)</f>
        <v>0</v>
      </c>
      <c r="BO50" s="123"/>
      <c r="BP50" s="123">
        <f>(BO50/12*2*$E50*$G50*$H50*$M50*$BP$11)+(BO50/12*10*$F50*$G50*$H50*$M50*$BP$12)</f>
        <v>0</v>
      </c>
      <c r="BQ50" s="123"/>
      <c r="BR50" s="123">
        <f>(BQ50/12*2*$E50*$G50*$H50*$M50*$BR$11)+(BQ50/12*10*$F50*$G50*$H50*$M50*$BR$11)</f>
        <v>0</v>
      </c>
      <c r="BS50" s="123"/>
      <c r="BT50" s="123">
        <f>(BS50/12*2*$E50*$G50*$H50*$N50*$BT$11)+(BS50/12*10*$F50*$G50*$H50*$N50*$BT$11)</f>
        <v>0</v>
      </c>
      <c r="BU50" s="123"/>
      <c r="BV50" s="126">
        <f>(BU50/12*2*$E50*$G50*$H50*$M50*$BV$11)+(BU50/12*10*$F50*$G50*$H50*$M50*$BV$11)</f>
        <v>0</v>
      </c>
      <c r="BW50" s="123"/>
      <c r="BX50" s="123">
        <f>(BW50/12*2*$E50*$G50*$H50*$M50*$BX$11)+(BW50/12*10*$F50*$G50*$H50*$M50*$BX$11)</f>
        <v>0</v>
      </c>
      <c r="BY50" s="123"/>
      <c r="BZ50" s="123">
        <f>(BY50/12*2*$E50*$G50*$H50*$M50*$BZ$11)+(BY50/12*10*$F50*$G50*$H50*$M50*$BZ$11)</f>
        <v>0</v>
      </c>
      <c r="CA50" s="123"/>
      <c r="CB50" s="123">
        <f>(CA50/12*2*$E50*$G50*$H50*$M50*$CB$11)+(CA50/12*10*$F50*$G50*$H50*$M50*$CB$11)</f>
        <v>0</v>
      </c>
      <c r="CC50" s="123"/>
      <c r="CD50" s="123">
        <f>(CC50/12*2*$E50*$G50*$H50*$M50*$CD$11)+(CC50/12*10*$F50*$G50*$H50*$M50*$CD$11)</f>
        <v>0</v>
      </c>
      <c r="CE50" s="123"/>
      <c r="CF50" s="123">
        <f>(CE50/12*10*$F50*$G50*$H50*$N50*$CF$11)</f>
        <v>0</v>
      </c>
      <c r="CG50" s="132"/>
      <c r="CH50" s="123">
        <f>(CG50/12*2*$E50*$G50*$H50*$N50*$CH$11)+(CG50/12*10*$F50*$G50*$H50*$N50*$CH$11)</f>
        <v>0</v>
      </c>
      <c r="CI50" s="123"/>
      <c r="CJ50" s="127">
        <f t="shared" si="22"/>
        <v>0</v>
      </c>
      <c r="CK50" s="123"/>
      <c r="CL50" s="123">
        <f>(CK50/12*2*$E50*$G50*$H50*$N50*$CL$11)+(CK50/12*10*$F50*$G50*$H50*$N50*$CL$12)</f>
        <v>0</v>
      </c>
      <c r="CM50" s="130"/>
      <c r="CN50" s="123">
        <f>(CM50/12*2*$E50*$G50*$H50*$N50*$CN$11)+(CM50/12*10*$F50*$G50*$H50*$N50*$CN$11)</f>
        <v>0</v>
      </c>
      <c r="CO50" s="123"/>
      <c r="CP50" s="123">
        <f>(CO50/12*2*$E50*$G50*$H50*$N50*$CP$11)+(CO50/12*10*$F50*$G50*$H50*$N50*$CP$11)</f>
        <v>0</v>
      </c>
      <c r="CQ50" s="123"/>
      <c r="CR50" s="123">
        <f>(CQ50/12*2*$E50*$G50*$H50*$O50*$CR$11)+(CQ50/12*10*$F50*$G50*$H50*$O50*$CR$11)</f>
        <v>0</v>
      </c>
      <c r="CS50" s="123"/>
      <c r="CT50" s="133">
        <f>(CS50/12*2*$E50*$G50*$H50*$P50*$CT$11)+(CS50/12*10*$F50*$G50*$H50*$P50*$CT$11)</f>
        <v>0</v>
      </c>
      <c r="CU50" s="127"/>
      <c r="CV50" s="127"/>
      <c r="CW50" s="126">
        <f t="shared" si="23"/>
        <v>0</v>
      </c>
      <c r="CX50" s="126">
        <f t="shared" si="23"/>
        <v>0</v>
      </c>
    </row>
    <row r="51" spans="1:102" ht="15.75" customHeight="1" x14ac:dyDescent="0.25">
      <c r="A51" s="109">
        <v>6</v>
      </c>
      <c r="B51" s="150"/>
      <c r="C51" s="93" t="s">
        <v>190</v>
      </c>
      <c r="D51" s="94" t="s">
        <v>191</v>
      </c>
      <c r="E51" s="95">
        <v>28004</v>
      </c>
      <c r="F51" s="96">
        <v>29405</v>
      </c>
      <c r="G51" s="101">
        <v>0.8</v>
      </c>
      <c r="H51" s="110"/>
      <c r="I51" s="108"/>
      <c r="J51" s="108"/>
      <c r="K51" s="108"/>
      <c r="L51" s="111"/>
      <c r="M51" s="112">
        <v>1.4</v>
      </c>
      <c r="N51" s="112">
        <v>1.68</v>
      </c>
      <c r="O51" s="112">
        <v>2.23</v>
      </c>
      <c r="P51" s="113">
        <v>2.57</v>
      </c>
      <c r="Q51" s="103">
        <f>SUM(Q52:Q55)</f>
        <v>31</v>
      </c>
      <c r="R51" s="104">
        <f>SUM(R52:R55)</f>
        <v>489559.34345191001</v>
      </c>
      <c r="S51" s="114">
        <f t="shared" ref="S51:CD51" si="26">SUM(S52:S55)</f>
        <v>20</v>
      </c>
      <c r="T51" s="115">
        <f t="shared" si="26"/>
        <v>284963.6413888</v>
      </c>
      <c r="U51" s="104">
        <f t="shared" si="26"/>
        <v>59</v>
      </c>
      <c r="V51" s="104">
        <f t="shared" si="26"/>
        <v>1219527.9719870302</v>
      </c>
      <c r="W51" s="104">
        <f t="shared" si="26"/>
        <v>0</v>
      </c>
      <c r="X51" s="104">
        <f t="shared" si="26"/>
        <v>0</v>
      </c>
      <c r="Y51" s="104">
        <f t="shared" si="26"/>
        <v>0</v>
      </c>
      <c r="Z51" s="104">
        <f t="shared" si="26"/>
        <v>0</v>
      </c>
      <c r="AA51" s="104">
        <f t="shared" si="26"/>
        <v>949</v>
      </c>
      <c r="AB51" s="104">
        <f t="shared" si="26"/>
        <v>77470801.065124303</v>
      </c>
      <c r="AC51" s="104">
        <f t="shared" si="26"/>
        <v>0</v>
      </c>
      <c r="AD51" s="104">
        <f t="shared" si="26"/>
        <v>0</v>
      </c>
      <c r="AE51" s="104">
        <f t="shared" si="26"/>
        <v>56</v>
      </c>
      <c r="AF51" s="105">
        <f t="shared" si="26"/>
        <v>4455902.4565835996</v>
      </c>
      <c r="AG51" s="104">
        <f t="shared" si="26"/>
        <v>41</v>
      </c>
      <c r="AH51" s="104">
        <f t="shared" si="26"/>
        <v>584175.4648470399</v>
      </c>
      <c r="AI51" s="106">
        <f t="shared" si="26"/>
        <v>71</v>
      </c>
      <c r="AJ51" s="104">
        <f t="shared" si="26"/>
        <v>1184906.1428315202</v>
      </c>
      <c r="AK51" s="104">
        <f t="shared" si="26"/>
        <v>15</v>
      </c>
      <c r="AL51" s="104">
        <f t="shared" si="26"/>
        <v>299690.22304416</v>
      </c>
      <c r="AM51" s="104">
        <f t="shared" si="26"/>
        <v>0</v>
      </c>
      <c r="AN51" s="104">
        <f t="shared" si="26"/>
        <v>0</v>
      </c>
      <c r="AO51" s="106">
        <f t="shared" si="26"/>
        <v>2</v>
      </c>
      <c r="AP51" s="104">
        <f t="shared" si="26"/>
        <v>34101.167981056002</v>
      </c>
      <c r="AQ51" s="104">
        <v>8</v>
      </c>
      <c r="AR51" s="104">
        <v>126446.34</v>
      </c>
      <c r="AS51" s="104">
        <f t="shared" si="26"/>
        <v>0</v>
      </c>
      <c r="AT51" s="104">
        <f t="shared" si="26"/>
        <v>0</v>
      </c>
      <c r="AU51" s="104">
        <f t="shared" si="26"/>
        <v>0</v>
      </c>
      <c r="AV51" s="104">
        <f t="shared" si="26"/>
        <v>0</v>
      </c>
      <c r="AW51" s="104">
        <f t="shared" si="26"/>
        <v>5</v>
      </c>
      <c r="AX51" s="104">
        <f t="shared" si="26"/>
        <v>224421.08362506994</v>
      </c>
      <c r="AY51" s="104">
        <f t="shared" si="26"/>
        <v>51</v>
      </c>
      <c r="AZ51" s="104">
        <f t="shared" si="26"/>
        <v>1029056.040990656</v>
      </c>
      <c r="BA51" s="104">
        <f t="shared" si="26"/>
        <v>75</v>
      </c>
      <c r="BB51" s="104">
        <f t="shared" si="26"/>
        <v>1125629.6284320001</v>
      </c>
      <c r="BC51" s="104">
        <f t="shared" si="26"/>
        <v>0</v>
      </c>
      <c r="BD51" s="104">
        <f t="shared" si="26"/>
        <v>0</v>
      </c>
      <c r="BE51" s="104">
        <f t="shared" si="26"/>
        <v>22</v>
      </c>
      <c r="BF51" s="104">
        <f t="shared" si="26"/>
        <v>541043.03838716121</v>
      </c>
      <c r="BG51" s="104">
        <f t="shared" si="26"/>
        <v>11</v>
      </c>
      <c r="BH51" s="104">
        <f t="shared" si="26"/>
        <v>454243.13528764807</v>
      </c>
      <c r="BI51" s="104">
        <f t="shared" si="26"/>
        <v>13</v>
      </c>
      <c r="BJ51" s="104">
        <f t="shared" si="26"/>
        <v>741883.57073635189</v>
      </c>
      <c r="BK51" s="104">
        <f t="shared" si="26"/>
        <v>67</v>
      </c>
      <c r="BL51" s="104">
        <f t="shared" si="26"/>
        <v>1668891.4928939999</v>
      </c>
      <c r="BM51" s="104">
        <f t="shared" si="26"/>
        <v>123</v>
      </c>
      <c r="BN51" s="104">
        <f t="shared" si="26"/>
        <v>6952307.6908157989</v>
      </c>
      <c r="BO51" s="104">
        <f t="shared" si="26"/>
        <v>250</v>
      </c>
      <c r="BP51" s="104">
        <f t="shared" si="26"/>
        <v>15685174.545154799</v>
      </c>
      <c r="BQ51" s="104">
        <f t="shared" si="26"/>
        <v>0</v>
      </c>
      <c r="BR51" s="104">
        <f t="shared" si="26"/>
        <v>0</v>
      </c>
      <c r="BS51" s="104">
        <f t="shared" si="26"/>
        <v>94</v>
      </c>
      <c r="BT51" s="104">
        <f t="shared" si="26"/>
        <v>5856365.7823576797</v>
      </c>
      <c r="BU51" s="104">
        <f t="shared" si="26"/>
        <v>0</v>
      </c>
      <c r="BV51" s="104">
        <f t="shared" si="26"/>
        <v>0</v>
      </c>
      <c r="BW51" s="104">
        <f t="shared" si="26"/>
        <v>115</v>
      </c>
      <c r="BX51" s="104">
        <f t="shared" si="26"/>
        <v>1199073.3639968</v>
      </c>
      <c r="BY51" s="104">
        <f t="shared" si="26"/>
        <v>23</v>
      </c>
      <c r="BZ51" s="104">
        <f t="shared" si="26"/>
        <v>1300025.0153557998</v>
      </c>
      <c r="CA51" s="104">
        <f t="shared" si="26"/>
        <v>52</v>
      </c>
      <c r="CB51" s="104">
        <f t="shared" si="26"/>
        <v>931848.19445353991</v>
      </c>
      <c r="CC51" s="104">
        <f t="shared" si="26"/>
        <v>36</v>
      </c>
      <c r="CD51" s="104">
        <f t="shared" si="26"/>
        <v>467077.0685183999</v>
      </c>
      <c r="CE51" s="104">
        <f t="shared" ref="CE51:CX51" si="27">SUM(CE52:CE55)</f>
        <v>0</v>
      </c>
      <c r="CF51" s="104">
        <f t="shared" si="27"/>
        <v>0</v>
      </c>
      <c r="CG51" s="104">
        <f t="shared" si="27"/>
        <v>10</v>
      </c>
      <c r="CH51" s="104">
        <f t="shared" si="27"/>
        <v>139934.18258432002</v>
      </c>
      <c r="CI51" s="104">
        <f t="shared" si="27"/>
        <v>0</v>
      </c>
      <c r="CJ51" s="104">
        <f t="shared" si="27"/>
        <v>0</v>
      </c>
      <c r="CK51" s="104">
        <f t="shared" si="27"/>
        <v>0</v>
      </c>
      <c r="CL51" s="104">
        <f t="shared" si="27"/>
        <v>0</v>
      </c>
      <c r="CM51" s="104">
        <f t="shared" si="27"/>
        <v>8</v>
      </c>
      <c r="CN51" s="104">
        <f t="shared" si="27"/>
        <v>248880.14497641998</v>
      </c>
      <c r="CO51" s="104">
        <f t="shared" si="27"/>
        <v>4</v>
      </c>
      <c r="CP51" s="104">
        <f t="shared" si="27"/>
        <v>46193.279999999999</v>
      </c>
      <c r="CQ51" s="104">
        <f t="shared" si="27"/>
        <v>20</v>
      </c>
      <c r="CR51" s="104">
        <f t="shared" si="27"/>
        <v>410525.80538560008</v>
      </c>
      <c r="CS51" s="104">
        <f t="shared" si="27"/>
        <v>12</v>
      </c>
      <c r="CT51" s="104">
        <f t="shared" si="27"/>
        <v>615699.41293451993</v>
      </c>
      <c r="CU51" s="104">
        <f t="shared" si="27"/>
        <v>0</v>
      </c>
      <c r="CV51" s="104">
        <f t="shared" si="27"/>
        <v>0</v>
      </c>
      <c r="CW51" s="104">
        <f t="shared" si="27"/>
        <v>2243</v>
      </c>
      <c r="CX51" s="104">
        <f t="shared" si="27"/>
        <v>125788346.294126</v>
      </c>
    </row>
    <row r="52" spans="1:102" ht="30" x14ac:dyDescent="0.25">
      <c r="A52" s="91"/>
      <c r="B52" s="117">
        <v>33</v>
      </c>
      <c r="C52" s="117" t="s">
        <v>192</v>
      </c>
      <c r="D52" s="155" t="s">
        <v>193</v>
      </c>
      <c r="E52" s="95">
        <v>28004</v>
      </c>
      <c r="F52" s="96">
        <v>29405</v>
      </c>
      <c r="G52" s="156">
        <v>0.32</v>
      </c>
      <c r="H52" s="107">
        <v>1</v>
      </c>
      <c r="I52" s="108"/>
      <c r="J52" s="108"/>
      <c r="K52" s="108"/>
      <c r="L52" s="142">
        <v>0.97470000000000001</v>
      </c>
      <c r="M52" s="120">
        <v>1.4</v>
      </c>
      <c r="N52" s="120">
        <v>1.68</v>
      </c>
      <c r="O52" s="120">
        <v>2.23</v>
      </c>
      <c r="P52" s="121">
        <v>2.57</v>
      </c>
      <c r="Q52" s="122">
        <v>30</v>
      </c>
      <c r="R52" s="143">
        <f>(Q52/12*2*$E52*$G52*((1-$L52)+$L52*$M52*$R$11*$H52))+(Q52/12*10*$F52*$G52*((1-$L52)+$L52*$M52*$R$11*$H52))</f>
        <v>427445.46208319999</v>
      </c>
      <c r="S52" s="157">
        <v>20</v>
      </c>
      <c r="T52" s="144">
        <f>(S52/12*2*$E52*$G52*((1-$L52)+$L52*$M52*$R$11*$H52))+(S52/12*10*$F52*$G52*((1-$L52)+$L52*$M52*$R$11*$H52))</f>
        <v>284963.6413888</v>
      </c>
      <c r="U52" s="123">
        <v>56</v>
      </c>
      <c r="V52" s="143">
        <f>(U52/12*2*$E52*$G52*((1-$L52)+$L52*$M52*V$11*$H52))+(U52/12*10*$F52*$G52*((1-$L52)+$L52*$M52*V$12*$H52))</f>
        <v>969955.30070656026</v>
      </c>
      <c r="W52" s="123"/>
      <c r="X52" s="143">
        <f>(W52/12*2*$E52*$G52*((1-$L52)+$L52*$M52*$X$11*$H52))+(W52/12*10*$F52*$G52*((1-$L52)+$L52*$M52*$X$12*$H52))</f>
        <v>0</v>
      </c>
      <c r="Y52" s="123"/>
      <c r="Z52" s="143">
        <f>(Y52/12*2*$E52*$G52*((1-$L52)+$L52*$M52*$Z$11*$H52))+(Y52/12*10*$F52*$G52*((1-$L52)+$L52*$M52*$Z$12*$H52))</f>
        <v>0</v>
      </c>
      <c r="AA52" s="123">
        <v>39</v>
      </c>
      <c r="AB52" s="143">
        <f>(AA52*$F52*$G52*((1-$L52)+$L52*$M52*$AB$11*$H52))</f>
        <v>560126.9717472</v>
      </c>
      <c r="AC52" s="123"/>
      <c r="AD52" s="123"/>
      <c r="AE52" s="123">
        <v>1</v>
      </c>
      <c r="AF52" s="158">
        <f>(AE52*$F52*$G52*((1-$L52)+$L52*$M52*AF$11*$H52))</f>
        <v>14362.230044800001</v>
      </c>
      <c r="AG52" s="123">
        <f>30+11</f>
        <v>41</v>
      </c>
      <c r="AH52" s="143">
        <f>(AG52/12*2*$E52*$G52*((1-$L52)+$L52*$H52*AH$11*$M52))+(AG52/12*10*$F52*$G52*((1-$L52)+$L52*$H52*AH$11*$M52))</f>
        <v>584175.4648470399</v>
      </c>
      <c r="AI52" s="130">
        <v>71</v>
      </c>
      <c r="AJ52" s="143">
        <f t="shared" ref="AJ52:AJ53" si="28">(AI52/12*2*$E52*$G52*((1-$L52)+$L52*$H52*AJ$11*$M52))+(AI52/12*5*$F52*$G52*((1-$L52)+$L52*$H52*AJ$12*$M52))+(AI52/12*5*$F52*$G52*((1-$L52)+$L52*$H52*AJ$13*$M52))</f>
        <v>1184906.1428315202</v>
      </c>
      <c r="AK52" s="123">
        <v>15</v>
      </c>
      <c r="AL52" s="143">
        <f>(AK52/12*2*$E52*$G52*((1-$L52)+$L52*$H52*AL$11*$N52))+(AK52/12*5*$F52*$G52*((1-$L52)+$L52*$H52*AL$12*$N52))+(AK52/12*5*$F52*$G52*((1-$L52)+$L52*$H52*AL$13*$N52))</f>
        <v>299690.22304416</v>
      </c>
      <c r="AM52" s="132"/>
      <c r="AN52" s="143">
        <f>(AM52/12*2*$E52*$G52*((1-$L52)+$L52*$N52*$AN$11*H52))+(AM52/12*10*$F52*$G52*((1-$L52)+$L52*$N52*$AN$12*H52))</f>
        <v>0</v>
      </c>
      <c r="AO52" s="130">
        <v>2</v>
      </c>
      <c r="AP52" s="143">
        <f>(AO52/12*2*$E52*$G52*((1-$L52)+$L52*$H52*AP$11*$N52))+(AO52/12*10*$F52*$G52*((1-$L52)+$L52*$H52*AP$11*$N52))</f>
        <v>34101.167981056002</v>
      </c>
      <c r="AQ52" s="143">
        <v>8</v>
      </c>
      <c r="AR52" s="143">
        <v>126446.34</v>
      </c>
      <c r="AS52" s="123"/>
      <c r="AT52" s="123"/>
      <c r="AU52" s="123"/>
      <c r="AV52" s="123"/>
      <c r="AW52" s="123">
        <v>2</v>
      </c>
      <c r="AX52" s="143">
        <f>(AW52/12*2*$E52*$G52*((1-$L52)+$L52*$H52*AX$11*$M52))+(AW52/12*10*$F52*$G52*((1-$L52)+$L52*$H52*AX$12*$M52))</f>
        <v>29759.987052159991</v>
      </c>
      <c r="AY52" s="123">
        <v>49</v>
      </c>
      <c r="AZ52" s="143">
        <f>(AY52/12*2*$E52*$G52*((1-$L52)+$L52*$N52*$H52*$AZ$11))+(AY52/12*10*$F52*$G52*((1-$L52)+$L52*$N52*$H52*$AZ$11))</f>
        <v>835478.61553587206</v>
      </c>
      <c r="BA52" s="123">
        <v>75</v>
      </c>
      <c r="BB52" s="143">
        <f>(BA52/12*2*$E52*$G52*((1-$L52)+$L52*$H52*BB$11*$N52))+(BA52/12*10*$F52*$G52*((1-$L52)+$L52*$H52*BB$12*$N52))</f>
        <v>1125629.6284320001</v>
      </c>
      <c r="BC52" s="123"/>
      <c r="BD52" s="146">
        <f>(BC52/12*2*$E52*$G52*$H52*$N52*$BD$11)+(BC52/12*10*$F52*$G52*$H52*$N52*$BD$12)</f>
        <v>0</v>
      </c>
      <c r="BE52" s="123">
        <v>19</v>
      </c>
      <c r="BF52" s="143">
        <f>(BE52/12*2*$E52*$G52*((1-$L52)+$L52*$H52*BF$11*$N52))+(BE52/12*10*$F52*$G52*((1-$L52)+$L52*$H52*BF$12*$N52))</f>
        <v>304211.59279654396</v>
      </c>
      <c r="BG52" s="123">
        <v>5</v>
      </c>
      <c r="BH52" s="143">
        <f>(BG52/12*2*$E52*$G52*((1-$L52)+$L52*$H52*BH$11*$N52))+(BG52/12*10*$F52*$G52*((1-$L52)+$L52*$H52*BH$11*$N52))</f>
        <v>69967.09129216001</v>
      </c>
      <c r="BI52" s="123">
        <v>5</v>
      </c>
      <c r="BJ52" s="143">
        <f>(BI52/12*2*$E52*$G52*((1-$L52)+$L52*$H52*BJ$11*$N52))+(BI52/12*10*$F52*$G52*((1-$L52)+$L52*$H52*BJ$11*$N52))</f>
        <v>92895.834282879994</v>
      </c>
      <c r="BK52" s="123">
        <v>61</v>
      </c>
      <c r="BL52" s="143">
        <f>(BK52/12*2*$E52*$G52*((1-$L52)+$L52*$H52*BL$11*$N52))+(BK52/12*10*$F52*$G52*((1-$L52)+$L52*$H52*BL$11*$N52))</f>
        <v>1133329.1782511359</v>
      </c>
      <c r="BM52" s="123"/>
      <c r="BN52" s="143">
        <f>(BM52/12*2*$E52*$G52*((1-$L52)+$L52*$H52*BN$11*$M52))+(BM52/12*10*$F52*$G52*((1-$L52)+$L52*$H52*BN$11*$M52))</f>
        <v>0</v>
      </c>
      <c r="BO52" s="123">
        <v>21</v>
      </c>
      <c r="BP52" s="143">
        <f>(BO52/12*2*$E52*$G52*((1-$L52)+$L52*$H52*BP$11*$M52))+(BO52/12*10*$F52*$G52*((1-$L52)+$L52*$H52*BP$12*$M52))</f>
        <v>249991.35735839998</v>
      </c>
      <c r="BQ52" s="123"/>
      <c r="BR52" s="123"/>
      <c r="BS52" s="123">
        <v>30</v>
      </c>
      <c r="BT52" s="143">
        <f>(BS52/12*2*$E52*$G52*((1-$L52)+$L52*$H52*BT$11*$N52))+(BS52/12*10*$F52*$G52*((1-$L52)+$L52*$H52*BT$11*$N52))</f>
        <v>465660.03373440006</v>
      </c>
      <c r="BU52" s="123"/>
      <c r="BV52" s="123"/>
      <c r="BW52" s="123">
        <v>115</v>
      </c>
      <c r="BX52" s="143">
        <f>(BW52/12*2*$E52*$G52*((1-$L52)+$L52*$H52*BX$11*$M52))+(BW52/12*10*$F52*$G52*((1-$L52)+$L52*$H52*BX$11*$M52))</f>
        <v>1199073.3639968</v>
      </c>
      <c r="BY52" s="123"/>
      <c r="BZ52" s="143">
        <f>(BY52/12*2*$E52*$G52*((1-$L52)+$L52*$H52*BZ$11*$M52))+(BY52/12*10*$F52*$G52*((1-$L52)+$L52*$H52*BZ$11*$M52))</f>
        <v>0</v>
      </c>
      <c r="CA52" s="123">
        <v>50</v>
      </c>
      <c r="CB52" s="143">
        <f>(CA52/12*2*$E52*$G52*((1-$L52)+$L52*$H52*CB$11*$M52))+(CA52/12*10*$F52*$G52*((1-$L52)+$L52*$H52*CB$11*$M52))</f>
        <v>776100.05622399994</v>
      </c>
      <c r="CC52" s="123">
        <v>36</v>
      </c>
      <c r="CD52" s="146">
        <f>(CC52/12*2*$E52*$G52*((1-$L52)+$L52*$M52*$CD$11*$H52))+(CC52/12*10*$F52*$G52*((1-$L52)+$L52*$M52*$CD$11*$H52))</f>
        <v>467077.0685183999</v>
      </c>
      <c r="CE52" s="123"/>
      <c r="CF52" s="143">
        <f>(CE52/12*10*$F52*$G52*((1-$L52)+$L52*$H52*CF$11*$N52))</f>
        <v>0</v>
      </c>
      <c r="CG52" s="132">
        <v>10</v>
      </c>
      <c r="CH52" s="143">
        <f>(CG52/12*2*$E52*$G52*((1-$L52)+$L52*$H52*CH$11*$N52))+(CG52/12*10*$F52*$G52*((1-$L52)+$L52*$H52*CH$11*$N52))</f>
        <v>139934.18258432002</v>
      </c>
      <c r="CI52" s="123"/>
      <c r="CJ52" s="127"/>
      <c r="CK52" s="123"/>
      <c r="CL52" s="123"/>
      <c r="CM52" s="123">
        <v>6</v>
      </c>
      <c r="CN52" s="143">
        <f>((CM52/12*2*$E52*$G52*((1-$L52)+$L52*$H52*CN$11*$N52)))+((CM52/12*10*$F52*$G52*((1-$L52)+$L52*$H52*CN$11*$N52)))</f>
        <v>93132.006746880012</v>
      </c>
      <c r="CO52" s="123">
        <v>4</v>
      </c>
      <c r="CP52" s="143">
        <v>46193.279999999999</v>
      </c>
      <c r="CQ52" s="123">
        <v>20</v>
      </c>
      <c r="CR52" s="143">
        <f>(CQ52/12*2*$E52*$G52*((1-$L52)+$L52*$H52*CR$11*$O52))+(CQ52/12*10*$F52*$G52*((1-$L52)+$L52*$H52*CR$11*$O52))</f>
        <v>410525.80538560008</v>
      </c>
      <c r="CS52" s="123">
        <v>9</v>
      </c>
      <c r="CT52" s="143">
        <f>(CS52/12*2*$E52*$G52*((1-$L52)+$L52*$H52*CT$11*$P52))+(CS52/12*10*$F52*$G52*((1-$L52)+$L52*$H52*CT$11*$P52))</f>
        <v>212578.65748368</v>
      </c>
      <c r="CU52" s="127"/>
      <c r="CV52" s="127"/>
      <c r="CW52" s="126">
        <f t="shared" ref="CW52:CX55" si="29">SUM(Q52,S52,U52,W52,Y52,AA52,AC52,AE52,AG52,AM52,BQ52,AI52,AU52,CC52,AW52,AY52,AK52,BC52,AO52,AQ52,BE52,CE52,BG52,BI52,BK52,BS52,BM52,BO52,BU52,BW52,BY52,CA52,CG52,BA52,AS52,CI52,CK52,CM52,CO52,CQ52,CS52,CU52)</f>
        <v>800</v>
      </c>
      <c r="CX52" s="126">
        <f t="shared" si="29"/>
        <v>12137710.684349567</v>
      </c>
    </row>
    <row r="53" spans="1:102" ht="45" x14ac:dyDescent="0.25">
      <c r="A53" s="91"/>
      <c r="B53" s="117">
        <v>34</v>
      </c>
      <c r="C53" s="117" t="s">
        <v>194</v>
      </c>
      <c r="D53" s="155" t="s">
        <v>195</v>
      </c>
      <c r="E53" s="95">
        <v>28004</v>
      </c>
      <c r="F53" s="96">
        <v>29405</v>
      </c>
      <c r="G53" s="156">
        <v>1.39</v>
      </c>
      <c r="H53" s="107">
        <v>1</v>
      </c>
      <c r="I53" s="108"/>
      <c r="J53" s="108"/>
      <c r="K53" s="108"/>
      <c r="L53" s="142">
        <v>0.9849</v>
      </c>
      <c r="M53" s="120">
        <v>1.4</v>
      </c>
      <c r="N53" s="120">
        <v>1.68</v>
      </c>
      <c r="O53" s="120">
        <v>2.23</v>
      </c>
      <c r="P53" s="121">
        <v>2.57</v>
      </c>
      <c r="Q53" s="122">
        <v>1</v>
      </c>
      <c r="R53" s="143">
        <f>(Q53/12*2*$E53*$G53*((1-$L53)+$L53*$M53*$R$11*$H53))+(Q53/12*10*$F53*$G53*((1-$L53)+$L53*$M53*$R$11*$H53))</f>
        <v>62113.881368710005</v>
      </c>
      <c r="S53" s="157"/>
      <c r="T53" s="144">
        <f>(S53/12*2*$E53*$G53*((1-$L53)+$L53*$M53*$R$11*$H53))+(S53/12*10*$F53*$G53*((1-$L53)+$L53*$M53*$R$11*$H53))</f>
        <v>0</v>
      </c>
      <c r="U53" s="123">
        <v>2</v>
      </c>
      <c r="V53" s="143">
        <f>(U53/12*2*$E53*$G53*((1-$L53)+$L53*$M53*V$11*$H53))+(U53/12*10*$F53*$G53*((1-$L53)+$L53*$M53*V$12*$H53))</f>
        <v>151198.98157442998</v>
      </c>
      <c r="W53" s="123"/>
      <c r="X53" s="143">
        <f>(W53/12*2*$E53*$G53*((1-$L53)+$L53*$M53*$X$11*$H53))+(W53/12*10*$F53*$G53*((1-$L53)+$L53*$M53*$X$12*$H53))</f>
        <v>0</v>
      </c>
      <c r="Y53" s="123"/>
      <c r="Z53" s="143">
        <f>(Y53/12*2*$E53*$G53*((1-$L53)+$L53*$M53*$Z$11*$H53))+(Y53/12*10*$F53*$G53*((1-$L53)+$L53*$M53*$Z$12*$H53))</f>
        <v>0</v>
      </c>
      <c r="AA53" s="123">
        <v>3</v>
      </c>
      <c r="AB53" s="143">
        <f>(AA53*$F53*$G53*((1-$L53)+$L53*$M53*$AB$11*$H53))</f>
        <v>187833.19489710001</v>
      </c>
      <c r="AC53" s="123"/>
      <c r="AD53" s="123"/>
      <c r="AE53" s="123"/>
      <c r="AF53" s="143">
        <f>(AE53/12*2*$E53*$G53*((1-$L53)+$L53*$M53*AF$11*$H53))+(AE53/12*10*$F53*$G53*((1-$L53)+$L53*$M53*AF$11*$H53))</f>
        <v>0</v>
      </c>
      <c r="AG53" s="135">
        <v>0</v>
      </c>
      <c r="AH53" s="145">
        <f>(AG53/12*2*$E53*$G53*((1-$L53)+$L53*$H53*AH$11*$M53))+(AG53/12*10*$F53*$G53*((1-$L53)+$L53*$H53*AH$11*$M53))</f>
        <v>0</v>
      </c>
      <c r="AI53" s="123"/>
      <c r="AJ53" s="143">
        <f t="shared" si="28"/>
        <v>0</v>
      </c>
      <c r="AK53" s="123"/>
      <c r="AL53" s="143">
        <f>(AK53/12*2*$E53*$G53*((1-$L53)+$L53*$H53*AL$11*$N53))+(AK53/12*5*$F53*$G53*((1-$L53)+$L53*$H53*AL$12*$N53))+(AK53/12*5*$F53*$G53*((1-$L53)+$L53*$H53*AL$13*$N53))</f>
        <v>0</v>
      </c>
      <c r="AM53" s="132"/>
      <c r="AN53" s="143">
        <f>(AM53/12*2*$E53*$G53*((1-$L53)+$L53*$N53*$AN$11*H53))+(AM53/12*10*$F53*$G53*((1-$L53)+$L53*$N53*$AN$12*H53))</f>
        <v>0</v>
      </c>
      <c r="AO53" s="130">
        <v>0</v>
      </c>
      <c r="AP53" s="143">
        <f>(AO53/12*2*$E53*$G53*((1-$L53)+$L53*$H53*AP$11*$N53))+(AO53/12*10*$F53*$G53*((1-$L53)+$L53*$H53*AP$11*$N53))</f>
        <v>0</v>
      </c>
      <c r="AQ53" s="143">
        <v>0</v>
      </c>
      <c r="AR53" s="143">
        <v>0</v>
      </c>
      <c r="AS53" s="123"/>
      <c r="AT53" s="123"/>
      <c r="AU53" s="123"/>
      <c r="AV53" s="123"/>
      <c r="AW53" s="123">
        <v>3</v>
      </c>
      <c r="AX53" s="143">
        <f>(AW53/12*2*$E53*$G53*((1-$L53)+$L53*$H53*AX$11*$M53))+(AW53/12*10*$F53*$G53*((1-$L53)+$L53*$H53*AX$12*$M53))</f>
        <v>194661.09657290994</v>
      </c>
      <c r="AY53" s="123">
        <v>0</v>
      </c>
      <c r="AZ53" s="143">
        <f>(AY53/12*2*$E53*$G53*((1-$L53)+$L53*$N53*$H53*$AZ$11))+(AY53/12*10*$F53*$G53*((1-$L53)+$L53*$N53*$H53*$AZ$11))</f>
        <v>0</v>
      </c>
      <c r="BA53" s="123"/>
      <c r="BB53" s="143">
        <f>(BA53/12*2*$E53*$G53*((1-$L53)+$L53*$H53*BB$11*$N53))+(BA53/12*10*$F53*$G53*((1-$L53)+$L53*$H53*BB$12*$N53))</f>
        <v>0</v>
      </c>
      <c r="BC53" s="123"/>
      <c r="BD53" s="146">
        <f>(BC53/12*2*$E53*$G53*$H53*$N53*$BD$11)+(BC53/12*10*$F53*$G53*$H53*$N53*$BD$12)</f>
        <v>0</v>
      </c>
      <c r="BE53" s="123">
        <v>1</v>
      </c>
      <c r="BF53" s="143">
        <f>(BE53/12*2*$E53*$G53*((1-$L53)+$L53*$H53*BF$11*$N53))+(BE53/12*10*$F53*$G53*((1-$L53)+$L53*$H53*BF$12*$N53))</f>
        <v>69851.851889283993</v>
      </c>
      <c r="BG53" s="123">
        <v>5</v>
      </c>
      <c r="BH53" s="143">
        <f>(BG53/12*2*$E53*$G53*((1-$L53)+$L53*$H53*BH$11*$N53))+(BG53/12*10*$F53*$G53*((1-$L53)+$L53*$H53*BH$11*$N53))</f>
        <v>304978.35222944006</v>
      </c>
      <c r="BI53" s="123">
        <v>8</v>
      </c>
      <c r="BJ53" s="143">
        <f>(BI53/12*2*$E53*$G53*((1-$L53)+$L53*$H53*BJ$11*$N53))+(BI53/12*10*$F53*$G53*((1-$L53)+$L53*$H53*BJ$11*$N53))</f>
        <v>648987.73645347194</v>
      </c>
      <c r="BK53" s="123">
        <v>4</v>
      </c>
      <c r="BL53" s="143">
        <f>(BK53/12*2*$E53*$G53*((1-$L53)+$L53*$H53*BL$11*$N53))+(BK53/12*10*$F53*$G53*((1-$L53)+$L53*$H53*BL$11*$N53))</f>
        <v>324493.86822673597</v>
      </c>
      <c r="BM53" s="123">
        <v>123</v>
      </c>
      <c r="BN53" s="143">
        <f>(BM53/12*2*$E53*$G53*((1-$L53)+$L53*$H53*BN$11*$M53))+(BM53/12*10*$F53*$G53*((1-$L53)+$L53*$H53*BN$11*$M53))</f>
        <v>6952307.6908157989</v>
      </c>
      <c r="BO53" s="123"/>
      <c r="BP53" s="143">
        <f>(BO53/12*2*$E53*$G53*((1-$L53)+$L53*$H53*BP$11*$M53))+(BO53/12*10*$F53*$G53*((1-$L53)+$L53*$H53*BP$12*$M53))</f>
        <v>0</v>
      </c>
      <c r="BQ53" s="123"/>
      <c r="BR53" s="123"/>
      <c r="BS53" s="123">
        <v>12</v>
      </c>
      <c r="BT53" s="143">
        <f>(BS53/12*2*$E53*$G53*((1-$L53)+$L53*$H53*BT$11*$N53))+(BS53/12*10*$F53*$G53*((1-$L53)+$L53*$H53*BT$11*$N53))</f>
        <v>812459.23179383983</v>
      </c>
      <c r="BU53" s="123"/>
      <c r="BV53" s="123"/>
      <c r="BW53" s="123"/>
      <c r="BX53" s="143">
        <f>(BW53/12*2*$E53*$G53*((1-$L53)+$L53*$H53*BX$11*$M53))+(BW53/12*10*$F53*$G53*((1-$L53)+$L53*$H53*BX$11*$M53))</f>
        <v>0</v>
      </c>
      <c r="BY53" s="123">
        <v>23</v>
      </c>
      <c r="BZ53" s="143">
        <f>(BY53/12*2*$E53*$G53*((1-$L53)+$L53*$H53*BZ$11*$M53))+(BY53/12*10*$F53*$G53*((1-$L53)+$L53*$H53*BZ$11*$M53))</f>
        <v>1300025.0153557998</v>
      </c>
      <c r="CA53" s="123">
        <v>1</v>
      </c>
      <c r="CB53" s="143">
        <f>(CA53/12*2*$E53*$G53*((1-$L53)+$L53*$H53*CB$11*$M53))+(CA53/12*10*$F53*$G53*((1-$L53)+$L53*$H53*CB$11*$M53))</f>
        <v>67704.935982819996</v>
      </c>
      <c r="CC53" s="123"/>
      <c r="CD53" s="146">
        <f>(CC53/12*2*$E53*$G53*((1-$L53)+$L53*$M53*$CD$11*$H53))+(CC53/12*10*$F53*$G53*((1-$L53)+$L53*$M53*$CD$11*$H53))</f>
        <v>0</v>
      </c>
      <c r="CE53" s="123"/>
      <c r="CF53" s="143">
        <f>(CE53/12*10*$F53*$G53*((1-$L53)+$L53*$H53*CF$11*$N53))</f>
        <v>0</v>
      </c>
      <c r="CG53" s="132"/>
      <c r="CH53" s="143">
        <f>(CG53/12*2*$E53*$G53*((1-$L53)+$L53*$H53*CH$11*$N53))+(CG53/12*10*$F53*$G53*((1-$L53)+$L53*$H53*CH$11*$N53))</f>
        <v>0</v>
      </c>
      <c r="CI53" s="123"/>
      <c r="CJ53" s="127"/>
      <c r="CK53" s="123"/>
      <c r="CL53" s="123"/>
      <c r="CM53" s="123">
        <v>1</v>
      </c>
      <c r="CN53" s="143">
        <f>((CM53/12*2*$E53*$G53*((1-$L53)+$L53*$H53*CN$11*$N53)))+((CM53/12*10*$F53*$G53*((1-$L53)+$L53*$H53*CN$11*$N53)))</f>
        <v>67704.935982819996</v>
      </c>
      <c r="CO53" s="123"/>
      <c r="CP53" s="143">
        <f>(CO53/12*2*$E53*$G53*((1-$L53)+$L53*$H53*CP$11*$N53))+(CO53/12*10*$F53*$G53*((1-$L53)+$L53*$H53*CP$11*$N53))</f>
        <v>0</v>
      </c>
      <c r="CQ53" s="123"/>
      <c r="CR53" s="143">
        <f>(CQ53/12*2*$E53*$G53*((1-$L53)+$L53*$H53*CR$11*$O53))+(CQ53/12*10*$F53*$G53*((1-$L53)+$L53*$H53*CR$11*$O53))</f>
        <v>0</v>
      </c>
      <c r="CS53" s="123"/>
      <c r="CT53" s="143">
        <f>(CS53/12*2*$E53*$G53*((1-$L53)+$L53*$H53*CT$11*$P53))+(CS53/12*10*$F53*$G53*((1-$L53)+$L53*$H53*CT$11*$P53))</f>
        <v>0</v>
      </c>
      <c r="CU53" s="127"/>
      <c r="CV53" s="127"/>
      <c r="CW53" s="126">
        <f t="shared" si="29"/>
        <v>187</v>
      </c>
      <c r="CX53" s="126">
        <f t="shared" si="29"/>
        <v>11144320.773143159</v>
      </c>
    </row>
    <row r="54" spans="1:102" ht="30" x14ac:dyDescent="0.25">
      <c r="A54" s="91"/>
      <c r="B54" s="117">
        <v>35</v>
      </c>
      <c r="C54" s="117" t="s">
        <v>196</v>
      </c>
      <c r="D54" s="155" t="s">
        <v>197</v>
      </c>
      <c r="E54" s="95">
        <v>28004</v>
      </c>
      <c r="F54" s="96">
        <v>29405</v>
      </c>
      <c r="G54" s="156">
        <v>2.1</v>
      </c>
      <c r="H54" s="110">
        <v>0.9</v>
      </c>
      <c r="I54" s="203">
        <v>0.85</v>
      </c>
      <c r="J54" s="108"/>
      <c r="K54" s="108"/>
      <c r="L54" s="142">
        <v>0.99039999999999995</v>
      </c>
      <c r="M54" s="120">
        <v>1.4</v>
      </c>
      <c r="N54" s="120">
        <v>1.68</v>
      </c>
      <c r="O54" s="120">
        <v>2.23</v>
      </c>
      <c r="P54" s="121">
        <v>2.57</v>
      </c>
      <c r="Q54" s="122"/>
      <c r="R54" s="143">
        <f>(Q54/12*2*$E54*$G54*((1-$L54)+$L54*$M54*$R$11*$H54))+(Q54/12*10*$F54*$G54*((1-$L54)+$L54*$M54*$R$11*$I54))</f>
        <v>0</v>
      </c>
      <c r="S54" s="157"/>
      <c r="T54" s="144"/>
      <c r="U54" s="123">
        <v>1</v>
      </c>
      <c r="V54" s="143">
        <f>(U54/12*2*$E54*$G54*((1-$L54)+$L54*$M54*V$11*$H54))+(U54/12*10*$F54*$G54*((1-$L54)+$L54*$M54*V$12*$I54))</f>
        <v>98373.689706039979</v>
      </c>
      <c r="W54" s="123"/>
      <c r="X54" s="143"/>
      <c r="Y54" s="123"/>
      <c r="Z54" s="143"/>
      <c r="AA54" s="123">
        <v>760</v>
      </c>
      <c r="AB54" s="143">
        <f>(AA54/12*2*$E54*$G54*((1-$L54)+$L54*$M54*$AB$11*$H54))+(AA54/12*10*$F54*$G54*((1-$L54)+$L54*$M54*$AB$11*$I54))</f>
        <v>61374010.403081611</v>
      </c>
      <c r="AC54" s="123"/>
      <c r="AD54" s="123"/>
      <c r="AE54" s="123">
        <v>55</v>
      </c>
      <c r="AF54" s="143">
        <f>(AE54/12*2*$E54*$G54*((1-$L54)+$L54*$M54*AF$11*$H54))+(AE54/12*10*$F54*$G54*((1-$L54)+$L54*$M54*AF$11*$I54))</f>
        <v>4441540.2265387997</v>
      </c>
      <c r="AG54" s="123">
        <v>0</v>
      </c>
      <c r="AH54" s="143"/>
      <c r="AI54" s="123"/>
      <c r="AJ54" s="143">
        <f t="shared" ref="AJ54:AJ55" si="30">(AI54/12*2*$E54*$G54*((1-$L54)+$L54*$H54*AJ$11*$M54))+(AI54/12*5*$F54*$G54*((1-$L54)+$L54*$I54*AJ$12*$M54))+(AI54/12*5*$F54*$G54*((1-$L54)+$L54*$I54*AJ$13*$M54))</f>
        <v>0</v>
      </c>
      <c r="AK54" s="123"/>
      <c r="AL54" s="143"/>
      <c r="AM54" s="132"/>
      <c r="AN54" s="143"/>
      <c r="AO54" s="130"/>
      <c r="AP54" s="143"/>
      <c r="AQ54" s="143">
        <v>0</v>
      </c>
      <c r="AR54" s="143">
        <v>0</v>
      </c>
      <c r="AS54" s="123"/>
      <c r="AT54" s="123"/>
      <c r="AU54" s="123"/>
      <c r="AV54" s="123"/>
      <c r="AW54" s="123"/>
      <c r="AX54" s="143"/>
      <c r="AY54" s="123">
        <v>2</v>
      </c>
      <c r="AZ54" s="143">
        <f>(AY54/12*2*$E54*$G54*((1-$L54)+$L54*$N54*$H54*$AZ$11))+(AY54/12*10*$F54*$G54*((1-$L54)+$L54*$N54*$I54*$AZ$11))</f>
        <v>193577.42545478401</v>
      </c>
      <c r="BA54" s="123"/>
      <c r="BB54" s="143"/>
      <c r="BC54" s="123"/>
      <c r="BD54" s="123"/>
      <c r="BE54" s="123">
        <v>1</v>
      </c>
      <c r="BF54" s="143">
        <f>(BE54/12*10*$F54*$G54*((1-$L54)+$L54*$I54*BF$12*$N54))</f>
        <v>73271.661287999988</v>
      </c>
      <c r="BG54" s="123">
        <v>1</v>
      </c>
      <c r="BH54" s="143">
        <f>(BG54/12*2*$E54*$G54*((1-$L54)+$L54*$H54*BH$11*$N54))+(BG54/12*10*$F54*$G54*((1-$L54)+$L54*$I54*BH$11*$N54))</f>
        <v>79297.691766047996</v>
      </c>
      <c r="BI54" s="123"/>
      <c r="BJ54" s="143"/>
      <c r="BK54" s="123">
        <v>2</v>
      </c>
      <c r="BL54" s="143">
        <f>(BK54/12*2*$E54*$G54*((1-$L54)+$L54*$H54*BL$11*$N54))+(BK54/12*10*$F54*$G54*((1-$L54)+$L54*$I54*BL$11*$N54))</f>
        <v>211068.44641612796</v>
      </c>
      <c r="BM54" s="123"/>
      <c r="BN54" s="143"/>
      <c r="BO54" s="123">
        <v>229</v>
      </c>
      <c r="BP54" s="143">
        <f>(BO54/12*2*$E54*$G54*((1-$L54)+$L54*$H54*BP$11*$M54))+(BO54/12*10*$F54*$G54*((1-$L54)+$L54*$I54*BP$12*$M54))</f>
        <v>15435183.187796399</v>
      </c>
      <c r="BQ54" s="123"/>
      <c r="BR54" s="123"/>
      <c r="BS54" s="123">
        <v>52</v>
      </c>
      <c r="BT54" s="143">
        <f>(BS54/12*2*$E54*$G54*((1-$L54)+$L54*$H54*BT$11*$N54))+(BS54/12*10*$F54*$G54*((1-$L54)+$L54*$I54*BT$11*$N54))</f>
        <v>4578246.5168294404</v>
      </c>
      <c r="BU54" s="123"/>
      <c r="BV54" s="123"/>
      <c r="BW54" s="123"/>
      <c r="BX54" s="143"/>
      <c r="BY54" s="123"/>
      <c r="BZ54" s="143"/>
      <c r="CA54" s="123">
        <v>1</v>
      </c>
      <c r="CB54" s="143">
        <f>(CA54/12*2*$E54*$G54*((1-$L54)+$L54*$H54*CB$11*$M54))+(CA54/12*10*$F54*$G54*((1-$L54)+$L54*$I54*CB$11*$M54))</f>
        <v>88043.202246719986</v>
      </c>
      <c r="CC54" s="123"/>
      <c r="CD54" s="146"/>
      <c r="CE54" s="123"/>
      <c r="CF54" s="143"/>
      <c r="CG54" s="132"/>
      <c r="CH54" s="143"/>
      <c r="CI54" s="123"/>
      <c r="CJ54" s="127"/>
      <c r="CK54" s="123"/>
      <c r="CL54" s="123"/>
      <c r="CM54" s="123">
        <v>1</v>
      </c>
      <c r="CN54" s="143">
        <f>((CM54/12*2*$E54*$G54*((1-$L54)+$L54*$H54*CN$11*$N54)))+((CM54/12*10*$F54*$G54*((1-$L54)+$L54*$I54*CN$11*$N54)))</f>
        <v>88043.202246719986</v>
      </c>
      <c r="CO54" s="123"/>
      <c r="CP54" s="143"/>
      <c r="CQ54" s="123"/>
      <c r="CR54" s="143"/>
      <c r="CS54" s="123">
        <v>3</v>
      </c>
      <c r="CT54" s="143">
        <f>(CS54/12*2*$E54*$G54*((1-$L54)+$L54*$H54*CT$11*$P54))+(CS54/12*10*$F54*$G54*((1-$L54)+$L54*$I54*CT$11*$P54))</f>
        <v>403120.75545083993</v>
      </c>
      <c r="CU54" s="127"/>
      <c r="CV54" s="127"/>
      <c r="CW54" s="126">
        <f t="shared" si="29"/>
        <v>1108</v>
      </c>
      <c r="CX54" s="126">
        <f t="shared" si="29"/>
        <v>87063776.408821538</v>
      </c>
    </row>
    <row r="55" spans="1:102" ht="30" x14ac:dyDescent="0.25">
      <c r="A55" s="91"/>
      <c r="B55" s="117">
        <v>36</v>
      </c>
      <c r="C55" s="117" t="s">
        <v>198</v>
      </c>
      <c r="D55" s="155" t="s">
        <v>199</v>
      </c>
      <c r="E55" s="95">
        <v>28004</v>
      </c>
      <c r="F55" s="96">
        <v>29405</v>
      </c>
      <c r="G55" s="156">
        <v>2.86</v>
      </c>
      <c r="H55" s="110">
        <v>0.9</v>
      </c>
      <c r="I55" s="203">
        <v>0.8</v>
      </c>
      <c r="J55" s="108"/>
      <c r="K55" s="108"/>
      <c r="L55" s="142">
        <v>0.98</v>
      </c>
      <c r="M55" s="120">
        <v>1.4</v>
      </c>
      <c r="N55" s="120">
        <v>1.68</v>
      </c>
      <c r="O55" s="120">
        <v>2.23</v>
      </c>
      <c r="P55" s="121">
        <v>2.57</v>
      </c>
      <c r="Q55" s="122">
        <v>0</v>
      </c>
      <c r="R55" s="143">
        <f>(Q55/12*2*$E55*$G55*((1-$L55)+$L55*$M55*$R$11*$H55))+(Q55/12*10*$F55*$G55*((1-$L55)+$L55*$M55*$R$11*$I55))</f>
        <v>0</v>
      </c>
      <c r="S55" s="157"/>
      <c r="T55" s="144"/>
      <c r="U55" s="143"/>
      <c r="V55" s="143">
        <f>(U55/12*2*$E55*$G55*((1-$L55)+$L55*$M55*V$11*$H55))+(U55/12*10*$F55*$G55*((1-$L55)+$L55*$M55*V$12*$I55))</f>
        <v>0</v>
      </c>
      <c r="W55" s="123"/>
      <c r="X55" s="143"/>
      <c r="Y55" s="123"/>
      <c r="Z55" s="143"/>
      <c r="AA55" s="123">
        <v>147</v>
      </c>
      <c r="AB55" s="143">
        <f>(AA55/12*2*$E55*$G55*((1-$L55)+$L55*$M55*$AB$11*$H55))+(AA55/12*10*$F55*$G55*((1-$L55)+$L55*$M55*$AB$11*$I55))</f>
        <v>15348830.495398402</v>
      </c>
      <c r="AC55" s="123"/>
      <c r="AD55" s="123"/>
      <c r="AE55" s="123"/>
      <c r="AF55" s="143">
        <f>(AE55/12*2*$E55*$G55*((1-$L55)+$L55*$M55*AF$11*$H55))+(AE55/12*10*$F55*$G55*((1-$L55)+$L55*$M55*AF$11*$I55))</f>
        <v>0</v>
      </c>
      <c r="AG55" s="123">
        <v>0</v>
      </c>
      <c r="AH55" s="143"/>
      <c r="AI55" s="123"/>
      <c r="AJ55" s="143">
        <f t="shared" si="30"/>
        <v>0</v>
      </c>
      <c r="AK55" s="123"/>
      <c r="AL55" s="143"/>
      <c r="AM55" s="132"/>
      <c r="AN55" s="143"/>
      <c r="AO55" s="130"/>
      <c r="AP55" s="143"/>
      <c r="AQ55" s="143">
        <v>0</v>
      </c>
      <c r="AR55" s="143">
        <v>0</v>
      </c>
      <c r="AS55" s="123"/>
      <c r="AT55" s="123"/>
      <c r="AU55" s="123"/>
      <c r="AV55" s="123"/>
      <c r="AW55" s="123"/>
      <c r="AX55" s="143"/>
      <c r="AY55" s="123">
        <v>0</v>
      </c>
      <c r="AZ55" s="143">
        <f>(AY55/12*2*$E55*$G55*((1-$L55)+$L55*$N55*$H55*$AZ$11))+(AY55/12*10*$F55*$G55*((1-$L55)+$L55*$N55*$I55*$AZ$11))</f>
        <v>0</v>
      </c>
      <c r="BA55" s="123"/>
      <c r="BB55" s="143"/>
      <c r="BC55" s="123"/>
      <c r="BD55" s="123"/>
      <c r="BE55" s="123">
        <v>1</v>
      </c>
      <c r="BF55" s="143">
        <f>(BE55/12*10*$F55*$G55*((1-$L55)+$L55*$I55*BF$12*$N55))</f>
        <v>93707.932413333328</v>
      </c>
      <c r="BG55" s="123"/>
      <c r="BH55" s="143">
        <f>(BG55/12*2*$E55*$G55*((1-$L55)+$L55*$H55*BH$11*$N55))+(BG55/12*10*$F55*$G55*((1-$L55)+$L55*$I55*BH$11*$N55))</f>
        <v>0</v>
      </c>
      <c r="BI55" s="123"/>
      <c r="BJ55" s="143"/>
      <c r="BK55" s="123"/>
      <c r="BL55" s="143">
        <f>(BK55/12*2*$E55*$G55*((1-$L55)+$L55*$H55*BL$11*$N55))+(BK55/12*10*$F55*$G55*((1-$L55)+$L55*$I55*BL$11*$N55))</f>
        <v>0</v>
      </c>
      <c r="BM55" s="123"/>
      <c r="BN55" s="143"/>
      <c r="BO55" s="123"/>
      <c r="BP55" s="143">
        <f>(BO55/12*2*$E55*$G55*((1-$L55)+$L55*$H55*BP$11*$M55))+(BO55/12*10*$F55*$G55*((1-$L55)+$L55*$I55*BP$12*$M55))</f>
        <v>0</v>
      </c>
      <c r="BQ55" s="123"/>
      <c r="BR55" s="123"/>
      <c r="BS55" s="123">
        <v>0</v>
      </c>
      <c r="BT55" s="143">
        <f>(BS55/12*2*$E55*$G55*((1-$L55)+$L55*$H55*BT$11*$N55))+(BS55/12*10*$F55*$G55*((1-$L55)+$L55*$I55*BT$11*$N55))</f>
        <v>0</v>
      </c>
      <c r="BU55" s="123"/>
      <c r="BV55" s="123"/>
      <c r="BW55" s="123"/>
      <c r="BX55" s="143"/>
      <c r="BY55" s="123"/>
      <c r="BZ55" s="143"/>
      <c r="CA55" s="123"/>
      <c r="CB55" s="143">
        <f>(CA55/12*2*$E55*$G55*((1-$L55)+$L55*$H55*CB$11*$M55))+(CA55/12*10*$F55*$G55*((1-$L55)+$L55*$I55*CB$11*$M55))</f>
        <v>0</v>
      </c>
      <c r="CC55" s="123"/>
      <c r="CD55" s="146"/>
      <c r="CE55" s="123"/>
      <c r="CF55" s="143"/>
      <c r="CG55" s="132"/>
      <c r="CH55" s="143"/>
      <c r="CI55" s="123"/>
      <c r="CJ55" s="127"/>
      <c r="CK55" s="123"/>
      <c r="CL55" s="123"/>
      <c r="CM55" s="123"/>
      <c r="CN55" s="143">
        <f>((CM55/12*2*$E55*$G55*((1-$L55)+$L55*$H55*CN$11*$N55)))+((CM55/12*10*$F55*$G55*((1-$L55)+$L55*$I55*CN$11*$N55)))</f>
        <v>0</v>
      </c>
      <c r="CO55" s="123"/>
      <c r="CP55" s="143"/>
      <c r="CQ55" s="123"/>
      <c r="CR55" s="143"/>
      <c r="CS55" s="123"/>
      <c r="CT55" s="143">
        <f>(CS55/12*2*$E55*$G55*((1-$L55)+$L55*$H55*CT$11*$P55))+(CS55/12*10*$F55*$G55*((1-$L55)+$L55*$I55*CT$11*$P55))</f>
        <v>0</v>
      </c>
      <c r="CU55" s="127"/>
      <c r="CV55" s="127"/>
      <c r="CW55" s="126">
        <f t="shared" si="29"/>
        <v>148</v>
      </c>
      <c r="CX55" s="126">
        <f t="shared" si="29"/>
        <v>15442538.427811736</v>
      </c>
    </row>
    <row r="56" spans="1:102" ht="15.75" customHeight="1" x14ac:dyDescent="0.25">
      <c r="A56" s="109">
        <v>7</v>
      </c>
      <c r="B56" s="150"/>
      <c r="C56" s="93" t="s">
        <v>200</v>
      </c>
      <c r="D56" s="94" t="s">
        <v>201</v>
      </c>
      <c r="E56" s="95">
        <v>28004</v>
      </c>
      <c r="F56" s="96">
        <v>29405</v>
      </c>
      <c r="G56" s="151">
        <v>1.84</v>
      </c>
      <c r="H56" s="110"/>
      <c r="I56" s="108"/>
      <c r="J56" s="108"/>
      <c r="K56" s="108"/>
      <c r="L56" s="111"/>
      <c r="M56" s="112">
        <v>1.4</v>
      </c>
      <c r="N56" s="112">
        <v>1.68</v>
      </c>
      <c r="O56" s="112">
        <v>2.23</v>
      </c>
      <c r="P56" s="113">
        <v>2.57</v>
      </c>
      <c r="Q56" s="103">
        <f>SUM(Q57)</f>
        <v>0</v>
      </c>
      <c r="R56" s="104">
        <f>SUM(R57)</f>
        <v>0</v>
      </c>
      <c r="S56" s="114">
        <f t="shared" ref="S56:CD56" si="31">SUM(S57)</f>
        <v>5</v>
      </c>
      <c r="T56" s="115">
        <f t="shared" si="31"/>
        <v>413301.81200000003</v>
      </c>
      <c r="U56" s="104">
        <f t="shared" si="31"/>
        <v>69</v>
      </c>
      <c r="V56" s="104">
        <f t="shared" si="31"/>
        <v>6954199.9323999994</v>
      </c>
      <c r="W56" s="104">
        <f t="shared" si="31"/>
        <v>25</v>
      </c>
      <c r="X56" s="104">
        <f t="shared" si="31"/>
        <v>2519637.6566666667</v>
      </c>
      <c r="Y56" s="104">
        <f t="shared" si="31"/>
        <v>0</v>
      </c>
      <c r="Z56" s="104">
        <f t="shared" si="31"/>
        <v>0</v>
      </c>
      <c r="AA56" s="104">
        <f t="shared" si="31"/>
        <v>0</v>
      </c>
      <c r="AB56" s="104">
        <f t="shared" si="31"/>
        <v>0</v>
      </c>
      <c r="AC56" s="104">
        <f t="shared" si="31"/>
        <v>0</v>
      </c>
      <c r="AD56" s="104">
        <f t="shared" si="31"/>
        <v>0</v>
      </c>
      <c r="AE56" s="104">
        <f t="shared" si="31"/>
        <v>0</v>
      </c>
      <c r="AF56" s="104">
        <f t="shared" si="31"/>
        <v>0</v>
      </c>
      <c r="AG56" s="104">
        <f t="shared" si="31"/>
        <v>0</v>
      </c>
      <c r="AH56" s="104">
        <f t="shared" si="31"/>
        <v>0</v>
      </c>
      <c r="AI56" s="104">
        <f t="shared" si="31"/>
        <v>0</v>
      </c>
      <c r="AJ56" s="104">
        <f t="shared" si="31"/>
        <v>0</v>
      </c>
      <c r="AK56" s="104">
        <f t="shared" si="31"/>
        <v>20</v>
      </c>
      <c r="AL56" s="104">
        <f t="shared" si="31"/>
        <v>2329399.0048000002</v>
      </c>
      <c r="AM56" s="104">
        <f t="shared" si="31"/>
        <v>0</v>
      </c>
      <c r="AN56" s="104">
        <f t="shared" si="31"/>
        <v>0</v>
      </c>
      <c r="AO56" s="106">
        <f t="shared" si="31"/>
        <v>1</v>
      </c>
      <c r="AP56" s="104">
        <f t="shared" si="31"/>
        <v>99192.434880000001</v>
      </c>
      <c r="AQ56" s="104">
        <v>2</v>
      </c>
      <c r="AR56" s="104">
        <v>199972.82</v>
      </c>
      <c r="AS56" s="104">
        <f t="shared" si="31"/>
        <v>0</v>
      </c>
      <c r="AT56" s="104">
        <f t="shared" si="31"/>
        <v>0</v>
      </c>
      <c r="AU56" s="104">
        <f t="shared" si="31"/>
        <v>0</v>
      </c>
      <c r="AV56" s="104">
        <f t="shared" si="31"/>
        <v>0</v>
      </c>
      <c r="AW56" s="104">
        <f t="shared" si="31"/>
        <v>0</v>
      </c>
      <c r="AX56" s="104">
        <f t="shared" si="31"/>
        <v>0</v>
      </c>
      <c r="AY56" s="104">
        <f t="shared" si="31"/>
        <v>0</v>
      </c>
      <c r="AZ56" s="104">
        <f t="shared" si="31"/>
        <v>0</v>
      </c>
      <c r="BA56" s="104">
        <f t="shared" si="31"/>
        <v>15</v>
      </c>
      <c r="BB56" s="104">
        <f t="shared" si="31"/>
        <v>1307175.7439999999</v>
      </c>
      <c r="BC56" s="104">
        <f t="shared" si="31"/>
        <v>0</v>
      </c>
      <c r="BD56" s="104">
        <f t="shared" si="31"/>
        <v>0</v>
      </c>
      <c r="BE56" s="104">
        <f t="shared" si="31"/>
        <v>0</v>
      </c>
      <c r="BF56" s="104">
        <f t="shared" si="31"/>
        <v>0</v>
      </c>
      <c r="BG56" s="104">
        <f t="shared" si="31"/>
        <v>0</v>
      </c>
      <c r="BH56" s="104">
        <f t="shared" si="31"/>
        <v>0</v>
      </c>
      <c r="BI56" s="104">
        <f t="shared" si="31"/>
        <v>4</v>
      </c>
      <c r="BJ56" s="104">
        <f t="shared" si="31"/>
        <v>432839.71583999996</v>
      </c>
      <c r="BK56" s="104">
        <f t="shared" si="31"/>
        <v>1</v>
      </c>
      <c r="BL56" s="104">
        <f t="shared" si="31"/>
        <v>108209.92895999999</v>
      </c>
      <c r="BM56" s="104">
        <f t="shared" si="31"/>
        <v>0</v>
      </c>
      <c r="BN56" s="104">
        <f t="shared" si="31"/>
        <v>0</v>
      </c>
      <c r="BO56" s="104">
        <f t="shared" si="31"/>
        <v>0</v>
      </c>
      <c r="BP56" s="104">
        <f t="shared" si="31"/>
        <v>0</v>
      </c>
      <c r="BQ56" s="104">
        <f t="shared" si="31"/>
        <v>0</v>
      </c>
      <c r="BR56" s="104">
        <f t="shared" si="31"/>
        <v>0</v>
      </c>
      <c r="BS56" s="104">
        <f t="shared" si="31"/>
        <v>1</v>
      </c>
      <c r="BT56" s="104">
        <f t="shared" si="31"/>
        <v>90174.940799999997</v>
      </c>
      <c r="BU56" s="104">
        <f t="shared" si="31"/>
        <v>0</v>
      </c>
      <c r="BV56" s="104">
        <f t="shared" si="31"/>
        <v>0</v>
      </c>
      <c r="BW56" s="104">
        <f t="shared" si="31"/>
        <v>0</v>
      </c>
      <c r="BX56" s="104">
        <f t="shared" si="31"/>
        <v>0</v>
      </c>
      <c r="BY56" s="104">
        <f t="shared" si="31"/>
        <v>0</v>
      </c>
      <c r="BZ56" s="104">
        <f t="shared" si="31"/>
        <v>0</v>
      </c>
      <c r="CA56" s="104">
        <f t="shared" si="31"/>
        <v>0</v>
      </c>
      <c r="CB56" s="104">
        <f t="shared" si="31"/>
        <v>0</v>
      </c>
      <c r="CC56" s="104">
        <f t="shared" si="31"/>
        <v>0</v>
      </c>
      <c r="CD56" s="104">
        <f t="shared" si="31"/>
        <v>0</v>
      </c>
      <c r="CE56" s="104">
        <f t="shared" ref="CE56:CX56" si="32">SUM(CE57)</f>
        <v>1</v>
      </c>
      <c r="CF56" s="104">
        <f t="shared" si="32"/>
        <v>75747.28</v>
      </c>
      <c r="CG56" s="104">
        <f t="shared" si="32"/>
        <v>0</v>
      </c>
      <c r="CH56" s="104">
        <f t="shared" si="32"/>
        <v>0</v>
      </c>
      <c r="CI56" s="104">
        <f t="shared" si="32"/>
        <v>0</v>
      </c>
      <c r="CJ56" s="104">
        <f t="shared" si="32"/>
        <v>0</v>
      </c>
      <c r="CK56" s="104">
        <f t="shared" si="32"/>
        <v>0</v>
      </c>
      <c r="CL56" s="104">
        <f t="shared" si="32"/>
        <v>0</v>
      </c>
      <c r="CM56" s="104">
        <f t="shared" si="32"/>
        <v>0</v>
      </c>
      <c r="CN56" s="104">
        <f t="shared" si="32"/>
        <v>0</v>
      </c>
      <c r="CO56" s="104">
        <f t="shared" si="32"/>
        <v>0</v>
      </c>
      <c r="CP56" s="104">
        <f t="shared" si="32"/>
        <v>0</v>
      </c>
      <c r="CQ56" s="104">
        <f t="shared" si="32"/>
        <v>0</v>
      </c>
      <c r="CR56" s="104">
        <f t="shared" si="32"/>
        <v>0</v>
      </c>
      <c r="CS56" s="104">
        <f t="shared" si="32"/>
        <v>0</v>
      </c>
      <c r="CT56" s="104">
        <f t="shared" si="32"/>
        <v>0</v>
      </c>
      <c r="CU56" s="104">
        <f t="shared" si="32"/>
        <v>0</v>
      </c>
      <c r="CV56" s="104">
        <f t="shared" si="32"/>
        <v>0</v>
      </c>
      <c r="CW56" s="104">
        <f t="shared" si="32"/>
        <v>144</v>
      </c>
      <c r="CX56" s="104">
        <f t="shared" si="32"/>
        <v>14529851.270346668</v>
      </c>
    </row>
    <row r="57" spans="1:102" ht="30" customHeight="1" x14ac:dyDescent="0.25">
      <c r="A57" s="91"/>
      <c r="B57" s="116">
        <v>37</v>
      </c>
      <c r="C57" s="117" t="s">
        <v>202</v>
      </c>
      <c r="D57" s="118" t="s">
        <v>203</v>
      </c>
      <c r="E57" s="95">
        <v>28004</v>
      </c>
      <c r="F57" s="96">
        <v>29405</v>
      </c>
      <c r="G57" s="119">
        <v>1.84</v>
      </c>
      <c r="H57" s="107">
        <v>1</v>
      </c>
      <c r="I57" s="108"/>
      <c r="J57" s="108"/>
      <c r="K57" s="108"/>
      <c r="L57" s="63"/>
      <c r="M57" s="120">
        <v>1.4</v>
      </c>
      <c r="N57" s="120">
        <v>1.68</v>
      </c>
      <c r="O57" s="120">
        <v>2.23</v>
      </c>
      <c r="P57" s="121">
        <v>2.57</v>
      </c>
      <c r="Q57" s="122"/>
      <c r="R57" s="123">
        <f>(Q57/12*2*$E57*$G57*$H57*$M57*$R$11)+(Q57/12*10*$F57*$G57*$H57*$M57*$R$11)</f>
        <v>0</v>
      </c>
      <c r="S57" s="124">
        <v>5</v>
      </c>
      <c r="T57" s="125">
        <f>(S57/12*2*$E57*$G57*$H57*$M57*$R$11)+(S57/12*10*$F57*$G57*$H57*$M57*$R$11)</f>
        <v>413301.81200000003</v>
      </c>
      <c r="U57" s="123">
        <v>69</v>
      </c>
      <c r="V57" s="123">
        <f>(U57/12*2*$E57*$G57*$H57*$M57*$V$11)+(U57/12*10*$F57*$G57*$H57*$M57*$V$12)</f>
        <v>6954199.9323999994</v>
      </c>
      <c r="W57" s="123">
        <v>25</v>
      </c>
      <c r="X57" s="126">
        <f>(W57/12*2*$E57*$G57*$H57*$M57*$X$11)+(W57/12*10*$F57*$G57*$H57*$M57*$X$12)</f>
        <v>2519637.6566666667</v>
      </c>
      <c r="Y57" s="123"/>
      <c r="Z57" s="123">
        <f>(Y57/12*2*$E57*$G57*$H57*$M57*$Z$11)+(Y57/12*10*$F57*$G57*$H57*$M57*$Z$12)</f>
        <v>0</v>
      </c>
      <c r="AA57" s="123"/>
      <c r="AB57" s="123">
        <f>(AA57/12*2*$E57*$G57*$H57*$M57*$AB$11)+(AA57/12*10*$F57*$G57*$H57*$M57*$AB$11)</f>
        <v>0</v>
      </c>
      <c r="AC57" s="123"/>
      <c r="AD57" s="123"/>
      <c r="AE57" s="123"/>
      <c r="AF57" s="123">
        <f>(AE57/12*2*$E57*$G57*$H57*$M57*$AF$11)+(AE57/12*10*$F57*$G57*$H57*$M57*$AF$11)</f>
        <v>0</v>
      </c>
      <c r="AG57" s="123"/>
      <c r="AH57" s="126">
        <f>(AG57/12*2*$E57*$G57*$H57*$M57*$AH$11)+(AG57/12*10*$F57*$G57*$H57*$M57*$AH$11)</f>
        <v>0</v>
      </c>
      <c r="AI57" s="123"/>
      <c r="AJ57" s="123">
        <f>(AI57/12*2*$E57*$G57*$H57*$M57*$AJ$11)+(AI57/12*5*$F57*$G57*$H57*$M57*$AJ$12)+(AI57/12*5*$F57*$G57*$H57*$M57*$AJ$13)</f>
        <v>0</v>
      </c>
      <c r="AK57" s="123">
        <v>20</v>
      </c>
      <c r="AL57" s="123">
        <f>(AK57/12*2*$E57*$G57*$H57*$N57*$AL$11)+(AK57/12*5*$F57*$G57*$H57*$N57*$AL$12)++(AK57/12*5*$F57*$G57*$H57*$N57*$AL$13)</f>
        <v>2329399.0048000002</v>
      </c>
      <c r="AM57" s="132"/>
      <c r="AN57" s="123">
        <f>(AM57/12*2*$E57*$G57*$H57*$N57*$AN$11)+(AM57/12*10*$F57*$G57*$H57*$N57*$AN$12)</f>
        <v>0</v>
      </c>
      <c r="AO57" s="130">
        <v>1</v>
      </c>
      <c r="AP57" s="127">
        <f>(AO57/12*2*$E57*$G57*$H57*$N57*$AP$11)+(AO57/12*10*$F57*$G57*$H57*$N57*$AP$11)</f>
        <v>99192.434880000001</v>
      </c>
      <c r="AQ57" s="127">
        <v>2</v>
      </c>
      <c r="AR57" s="127">
        <v>199972.82</v>
      </c>
      <c r="AS57" s="123"/>
      <c r="AT57" s="123">
        <f>(AS57/12*2*$E57*$G57*$H57*$M57*$AT$11)+(AS57/12*10*$F57*$G57*$H57*$M57*$AT$11)</f>
        <v>0</v>
      </c>
      <c r="AU57" s="123"/>
      <c r="AV57" s="126">
        <f>(AU57/12*2*$E57*$G57*$H57*$M57*$AV$11)+(AU57/12*10*$F57*$G57*$H57*$M57*$AV$12)</f>
        <v>0</v>
      </c>
      <c r="AW57" s="123"/>
      <c r="AX57" s="123">
        <f>(AW57/12*2*$E57*$G57*$H57*$M57*$AX$11)+(AW57/12*10*$F57*$G57*$H57*$M57*$AX$12)</f>
        <v>0</v>
      </c>
      <c r="AY57" s="131"/>
      <c r="AZ57" s="123">
        <f>(AY57/12*2*$E57*$G57*$H57*$N57*$AZ$11)+(AY57/12*10*$F57*$G57*$H57*$N57*$AZ$11)</f>
        <v>0</v>
      </c>
      <c r="BA57" s="123">
        <v>15</v>
      </c>
      <c r="BB57" s="123">
        <f>(BA57/12*2*$E57*$G57*$H57*$N57*$BB$11)+(BA57/12*10*$F57*$G57*$H57*$N57*$BB$12)</f>
        <v>1307175.7439999999</v>
      </c>
      <c r="BC57" s="123"/>
      <c r="BD57" s="126">
        <f>(BC57/12*2*$E57*$G57*$H57*$N57*$BD$11)+(BC57/12*10*$F57*$G57*$H57*$N57*$BD$12)</f>
        <v>0</v>
      </c>
      <c r="BE57" s="123"/>
      <c r="BF57" s="123">
        <f>(BE57/12*10*$F57*$G57*$H57*$N57*$BF$12)</f>
        <v>0</v>
      </c>
      <c r="BG57" s="123"/>
      <c r="BH57" s="123">
        <f>(BG57/12*2*$E57*$G57*$H57*$N57*$BH$11)+(BG57/12*10*$F57*$G57*$H57*$N57*$BH$11)</f>
        <v>0</v>
      </c>
      <c r="BI57" s="123">
        <v>4</v>
      </c>
      <c r="BJ57" s="126">
        <f>(BI57/12*2*$E57*$G57*$H57*$N57*$BJ$11)+(BI57/12*10*$F57*$G57*$H57*$N57*$BJ$11)</f>
        <v>432839.71583999996</v>
      </c>
      <c r="BK57" s="123">
        <v>1</v>
      </c>
      <c r="BL57" s="127">
        <f>(BK57/12*2*$E57*$G57*$H57*$N57*$BL$11)+(BK57/12*10*$F57*$G57*$H57*$N57*$BL$11)</f>
        <v>108209.92895999999</v>
      </c>
      <c r="BM57" s="123"/>
      <c r="BN57" s="123">
        <f>(BM57/12*2*$E57*$G57*$H57*$M57*$BN$11)+(BM57/12*10*$F57*$G57*$H57*$M57*$BN$11)</f>
        <v>0</v>
      </c>
      <c r="BO57" s="123"/>
      <c r="BP57" s="123">
        <f>(BO57/12*2*$E57*$G57*$H57*$M57*$BP$11)+(BO57/12*10*$F57*$G57*$H57*$M57*$BP$12)</f>
        <v>0</v>
      </c>
      <c r="BQ57" s="123"/>
      <c r="BR57" s="123">
        <f>(BQ57/12*2*$E57*$G57*$H57*$M57*$BR$11)+(BQ57/12*10*$F57*$G57*$H57*$M57*$BR$11)</f>
        <v>0</v>
      </c>
      <c r="BS57" s="123">
        <v>1</v>
      </c>
      <c r="BT57" s="123">
        <f>(BS57/12*2*$E57*$G57*$H57*$N57*$BT$11)+(BS57/12*10*$F57*$G57*$H57*$N57*$BT$11)</f>
        <v>90174.940799999997</v>
      </c>
      <c r="BU57" s="123"/>
      <c r="BV57" s="126">
        <f>(BU57/12*2*$E57*$G57*$H57*$M57*$BV$11)+(BU57/12*10*$F57*$G57*$H57*$M57*$BV$11)</f>
        <v>0</v>
      </c>
      <c r="BW57" s="123"/>
      <c r="BX57" s="123">
        <f>(BW57/12*2*$E57*$G57*$H57*$M57*$BX$11)+(BW57/12*10*$F57*$G57*$H57*$M57*$BX$11)</f>
        <v>0</v>
      </c>
      <c r="BY57" s="123"/>
      <c r="BZ57" s="123">
        <f>(BY57/12*2*$E57*$G57*$H57*$M57*$BZ$11)+(BY57/12*10*$F57*$G57*$H57*$M57*$BZ$11)</f>
        <v>0</v>
      </c>
      <c r="CA57" s="123"/>
      <c r="CB57" s="123">
        <f>(CA57/12*2*$E57*$G57*$H57*$M57*$CB$11)+(CA57/12*10*$F57*$G57*$H57*$M57*$CB$11)</f>
        <v>0</v>
      </c>
      <c r="CC57" s="123"/>
      <c r="CD57" s="123">
        <f>(CC57/12*2*$E57*$G57*$H57*$M57*$CD$11)+(CC57/12*10*$F57*$G57*$H57*$M57*$CD$11)</f>
        <v>0</v>
      </c>
      <c r="CE57" s="123">
        <v>1</v>
      </c>
      <c r="CF57" s="123">
        <f>(CE57/12*10*$F57*$G57*$H57*$N57*$CF$11)</f>
        <v>75747.28</v>
      </c>
      <c r="CG57" s="132"/>
      <c r="CH57" s="123">
        <f>(CG57/12*2*$E57*$G57*$H57*$N57*$CH$11)+(CG57/12*10*$F57*$G57*$H57*$N57*$CH$11)</f>
        <v>0</v>
      </c>
      <c r="CI57" s="123"/>
      <c r="CJ57" s="127">
        <f>(CI57*$E57*$G57*$H57*$N57*CJ$11)</f>
        <v>0</v>
      </c>
      <c r="CK57" s="123"/>
      <c r="CL57" s="123">
        <f>(CK57/12*2*$E57*$G57*$H57*$N57*$CL$11)+(CK57/12*10*$F57*$G57*$H57*$N57*$CL$12)</f>
        <v>0</v>
      </c>
      <c r="CM57" s="130"/>
      <c r="CN57" s="123">
        <f>(CM57/12*2*$E57*$G57*$H57*$N57*$CN$11)+(CM57/12*10*$F57*$G57*$H57*$N57*$CN$11)</f>
        <v>0</v>
      </c>
      <c r="CO57" s="123"/>
      <c r="CP57" s="123">
        <f>(CO57/12*2*$E57*$G57*$H57*$N57*$CP$11)+(CO57/12*10*$F57*$G57*$H57*$N57*$CP$11)</f>
        <v>0</v>
      </c>
      <c r="CQ57" s="123"/>
      <c r="CR57" s="123">
        <f>(CQ57/12*2*$E57*$G57*$H57*$O57*$CR$11)+(CQ57/12*10*$F57*$G57*$H57*$O57*$CR$11)</f>
        <v>0</v>
      </c>
      <c r="CS57" s="123"/>
      <c r="CT57" s="133">
        <f>(CS57/12*2*$E57*$G57*$H57*$P57*$CT$11)+(CS57/12*10*$F57*$G57*$H57*$P57*$CT$11)</f>
        <v>0</v>
      </c>
      <c r="CU57" s="127"/>
      <c r="CV57" s="127"/>
      <c r="CW57" s="126">
        <f>SUM(Q57,S57,U57,W57,Y57,AA57,AC57,AE57,AG57,AM57,BQ57,AI57,AU57,CC57,AW57,AY57,AK57,BC57,AO57,AQ57,BE57,CE57,BG57,BI57,BK57,BS57,BM57,BO57,BU57,BW57,BY57,CA57,CG57,BA57,AS57,CI57,CK57,CM57,CO57,CQ57,CS57,CU57)</f>
        <v>144</v>
      </c>
      <c r="CX57" s="126">
        <f>SUM(R57,T57,V57,X57,Z57,AB57,AD57,AF57,AH57,AN57,BR57,AJ57,AV57,CD57,AX57,AZ57,AL57,BD57,AP57,AR57,BF57,CF57,BH57,BJ57,BL57,BT57,BN57,BP57,BV57,BX57,BZ57,CB57,CH57,BB57,AT57,CJ57,CL57,CN57,CP57,CR57,CT57,CV57)</f>
        <v>14529851.270346668</v>
      </c>
    </row>
    <row r="58" spans="1:102" ht="15.75" customHeight="1" x14ac:dyDescent="0.25">
      <c r="A58" s="109">
        <v>8</v>
      </c>
      <c r="B58" s="150"/>
      <c r="C58" s="93" t="s">
        <v>204</v>
      </c>
      <c r="D58" s="94" t="s">
        <v>205</v>
      </c>
      <c r="E58" s="95">
        <v>28004</v>
      </c>
      <c r="F58" s="96">
        <v>29405</v>
      </c>
      <c r="G58" s="151">
        <v>6.36</v>
      </c>
      <c r="H58" s="110"/>
      <c r="I58" s="108"/>
      <c r="J58" s="108"/>
      <c r="K58" s="108"/>
      <c r="L58" s="111"/>
      <c r="M58" s="112">
        <v>1.4</v>
      </c>
      <c r="N58" s="112">
        <v>1.68</v>
      </c>
      <c r="O58" s="112">
        <v>2.23</v>
      </c>
      <c r="P58" s="113">
        <v>2.57</v>
      </c>
      <c r="Q58" s="103">
        <f>SUM(Q59:Q61)</f>
        <v>0</v>
      </c>
      <c r="R58" s="104">
        <f>SUM(R59:R61)</f>
        <v>0</v>
      </c>
      <c r="S58" s="114">
        <f t="shared" ref="S58:CD58" si="33">SUM(S59:S61)</f>
        <v>0</v>
      </c>
      <c r="T58" s="115">
        <f t="shared" si="33"/>
        <v>0</v>
      </c>
      <c r="U58" s="104">
        <f t="shared" si="33"/>
        <v>236</v>
      </c>
      <c r="V58" s="104">
        <f t="shared" si="33"/>
        <v>72133939.626466662</v>
      </c>
      <c r="W58" s="104">
        <f t="shared" si="33"/>
        <v>0</v>
      </c>
      <c r="X58" s="104">
        <f t="shared" si="33"/>
        <v>0</v>
      </c>
      <c r="Y58" s="104">
        <f t="shared" si="33"/>
        <v>0</v>
      </c>
      <c r="Z58" s="104">
        <f t="shared" si="33"/>
        <v>0</v>
      </c>
      <c r="AA58" s="104">
        <f t="shared" si="33"/>
        <v>0</v>
      </c>
      <c r="AB58" s="104">
        <f t="shared" si="33"/>
        <v>0</v>
      </c>
      <c r="AC58" s="104">
        <f t="shared" si="33"/>
        <v>0</v>
      </c>
      <c r="AD58" s="104">
        <f t="shared" si="33"/>
        <v>0</v>
      </c>
      <c r="AE58" s="104">
        <f t="shared" si="33"/>
        <v>0</v>
      </c>
      <c r="AF58" s="104">
        <f t="shared" si="33"/>
        <v>0</v>
      </c>
      <c r="AG58" s="104">
        <f t="shared" si="33"/>
        <v>0</v>
      </c>
      <c r="AH58" s="104">
        <f t="shared" si="33"/>
        <v>0</v>
      </c>
      <c r="AI58" s="104">
        <f t="shared" si="33"/>
        <v>0</v>
      </c>
      <c r="AJ58" s="104">
        <f t="shared" si="33"/>
        <v>0</v>
      </c>
      <c r="AK58" s="104">
        <f t="shared" si="33"/>
        <v>0</v>
      </c>
      <c r="AL58" s="104">
        <f t="shared" si="33"/>
        <v>0</v>
      </c>
      <c r="AM58" s="104">
        <f t="shared" si="33"/>
        <v>0</v>
      </c>
      <c r="AN58" s="104">
        <f t="shared" si="33"/>
        <v>0</v>
      </c>
      <c r="AO58" s="106">
        <f t="shared" si="33"/>
        <v>0</v>
      </c>
      <c r="AP58" s="104">
        <f t="shared" si="33"/>
        <v>0</v>
      </c>
      <c r="AQ58" s="104">
        <v>0</v>
      </c>
      <c r="AR58" s="104">
        <v>0</v>
      </c>
      <c r="AS58" s="104">
        <f t="shared" si="33"/>
        <v>0</v>
      </c>
      <c r="AT58" s="104">
        <f t="shared" si="33"/>
        <v>0</v>
      </c>
      <c r="AU58" s="104">
        <f t="shared" si="33"/>
        <v>0</v>
      </c>
      <c r="AV58" s="104">
        <f t="shared" si="33"/>
        <v>0</v>
      </c>
      <c r="AW58" s="104">
        <f t="shared" si="33"/>
        <v>0</v>
      </c>
      <c r="AX58" s="104">
        <f t="shared" si="33"/>
        <v>0</v>
      </c>
      <c r="AY58" s="104">
        <f t="shared" si="33"/>
        <v>0</v>
      </c>
      <c r="AZ58" s="104">
        <f t="shared" si="33"/>
        <v>0</v>
      </c>
      <c r="BA58" s="104">
        <f t="shared" si="33"/>
        <v>0</v>
      </c>
      <c r="BB58" s="104">
        <f t="shared" si="33"/>
        <v>0</v>
      </c>
      <c r="BC58" s="104">
        <f t="shared" si="33"/>
        <v>0</v>
      </c>
      <c r="BD58" s="104">
        <f t="shared" si="33"/>
        <v>0</v>
      </c>
      <c r="BE58" s="104">
        <f t="shared" si="33"/>
        <v>0</v>
      </c>
      <c r="BF58" s="104">
        <f t="shared" si="33"/>
        <v>0</v>
      </c>
      <c r="BG58" s="104">
        <f t="shared" si="33"/>
        <v>0</v>
      </c>
      <c r="BH58" s="104">
        <f t="shared" si="33"/>
        <v>0</v>
      </c>
      <c r="BI58" s="104">
        <f t="shared" si="33"/>
        <v>0</v>
      </c>
      <c r="BJ58" s="104">
        <f t="shared" si="33"/>
        <v>0</v>
      </c>
      <c r="BK58" s="104">
        <f t="shared" si="33"/>
        <v>0</v>
      </c>
      <c r="BL58" s="104">
        <f t="shared" si="33"/>
        <v>0</v>
      </c>
      <c r="BM58" s="104">
        <f t="shared" si="33"/>
        <v>0</v>
      </c>
      <c r="BN58" s="104">
        <f t="shared" si="33"/>
        <v>0</v>
      </c>
      <c r="BO58" s="104">
        <f t="shared" si="33"/>
        <v>0</v>
      </c>
      <c r="BP58" s="104">
        <f t="shared" si="33"/>
        <v>0</v>
      </c>
      <c r="BQ58" s="104">
        <f t="shared" si="33"/>
        <v>0</v>
      </c>
      <c r="BR58" s="104">
        <f t="shared" si="33"/>
        <v>0</v>
      </c>
      <c r="BS58" s="104">
        <f t="shared" si="33"/>
        <v>0</v>
      </c>
      <c r="BT58" s="104">
        <f t="shared" si="33"/>
        <v>0</v>
      </c>
      <c r="BU58" s="104">
        <f t="shared" si="33"/>
        <v>0</v>
      </c>
      <c r="BV58" s="104">
        <f t="shared" si="33"/>
        <v>0</v>
      </c>
      <c r="BW58" s="104">
        <f t="shared" si="33"/>
        <v>0</v>
      </c>
      <c r="BX58" s="104">
        <f t="shared" si="33"/>
        <v>0</v>
      </c>
      <c r="BY58" s="104">
        <f t="shared" si="33"/>
        <v>0</v>
      </c>
      <c r="BZ58" s="104">
        <f t="shared" si="33"/>
        <v>0</v>
      </c>
      <c r="CA58" s="104">
        <f t="shared" si="33"/>
        <v>0</v>
      </c>
      <c r="CB58" s="104">
        <f t="shared" si="33"/>
        <v>0</v>
      </c>
      <c r="CC58" s="104">
        <f t="shared" si="33"/>
        <v>0</v>
      </c>
      <c r="CD58" s="104">
        <f t="shared" si="33"/>
        <v>0</v>
      </c>
      <c r="CE58" s="104">
        <f t="shared" ref="CE58:CX58" si="34">SUM(CE59:CE61)</f>
        <v>0</v>
      </c>
      <c r="CF58" s="104">
        <f t="shared" si="34"/>
        <v>0</v>
      </c>
      <c r="CG58" s="104">
        <f t="shared" si="34"/>
        <v>0</v>
      </c>
      <c r="CH58" s="104">
        <f t="shared" si="34"/>
        <v>0</v>
      </c>
      <c r="CI58" s="104">
        <f t="shared" si="34"/>
        <v>0</v>
      </c>
      <c r="CJ58" s="104">
        <f t="shared" si="34"/>
        <v>0</v>
      </c>
      <c r="CK58" s="104">
        <f t="shared" si="34"/>
        <v>0</v>
      </c>
      <c r="CL58" s="104">
        <f t="shared" si="34"/>
        <v>0</v>
      </c>
      <c r="CM58" s="104">
        <f t="shared" si="34"/>
        <v>0</v>
      </c>
      <c r="CN58" s="104">
        <f t="shared" si="34"/>
        <v>0</v>
      </c>
      <c r="CO58" s="104">
        <f t="shared" si="34"/>
        <v>0</v>
      </c>
      <c r="CP58" s="104">
        <f t="shared" si="34"/>
        <v>0</v>
      </c>
      <c r="CQ58" s="104">
        <f t="shared" si="34"/>
        <v>0</v>
      </c>
      <c r="CR58" s="104">
        <f t="shared" si="34"/>
        <v>0</v>
      </c>
      <c r="CS58" s="104">
        <f t="shared" si="34"/>
        <v>0</v>
      </c>
      <c r="CT58" s="104">
        <f t="shared" si="34"/>
        <v>0</v>
      </c>
      <c r="CU58" s="104">
        <f t="shared" si="34"/>
        <v>0</v>
      </c>
      <c r="CV58" s="104">
        <f t="shared" si="34"/>
        <v>0</v>
      </c>
      <c r="CW58" s="104">
        <f t="shared" si="34"/>
        <v>236</v>
      </c>
      <c r="CX58" s="104">
        <f t="shared" si="34"/>
        <v>72133939.626466662</v>
      </c>
    </row>
    <row r="59" spans="1:102" ht="45" customHeight="1" x14ac:dyDescent="0.25">
      <c r="A59" s="91"/>
      <c r="B59" s="116">
        <v>38</v>
      </c>
      <c r="C59" s="159" t="s">
        <v>206</v>
      </c>
      <c r="D59" s="118" t="s">
        <v>207</v>
      </c>
      <c r="E59" s="95">
        <v>28004</v>
      </c>
      <c r="F59" s="96">
        <v>29405</v>
      </c>
      <c r="G59" s="119">
        <v>4.37</v>
      </c>
      <c r="H59" s="107">
        <v>1</v>
      </c>
      <c r="I59" s="108"/>
      <c r="J59" s="108"/>
      <c r="K59" s="108"/>
      <c r="L59" s="63"/>
      <c r="M59" s="120">
        <v>1.4</v>
      </c>
      <c r="N59" s="120">
        <v>1.68</v>
      </c>
      <c r="O59" s="120">
        <v>2.23</v>
      </c>
      <c r="P59" s="121">
        <v>2.57</v>
      </c>
      <c r="Q59" s="122"/>
      <c r="R59" s="123">
        <f>(Q59/12*2*$E59*$G59*$H59*$M59*$R$11)+(Q59/12*10*$F59*$G59*$H59*$M59*$R$11)</f>
        <v>0</v>
      </c>
      <c r="S59" s="124"/>
      <c r="T59" s="125">
        <f>(S59/12*2*$E59*$G59*$H59*$M59*$R$11)+(S59/12*10*$F59*$G59*$H59*$M59*$R$11)</f>
        <v>0</v>
      </c>
      <c r="U59" s="123">
        <v>116</v>
      </c>
      <c r="V59" s="123">
        <f>(U59/12*2*$E59*$G59*$H59*$M59*$V$11)+(U59/12*10*$F59*$G59*$H59*$M59*$V$12)</f>
        <v>27766406.976466663</v>
      </c>
      <c r="W59" s="123"/>
      <c r="X59" s="126">
        <f>(W59/12*2*$E59*$G59*$H59*$M59*$X$11)+(W59/12*10*$F59*$G59*$H59*$M59*$X$12)</f>
        <v>0</v>
      </c>
      <c r="Y59" s="123"/>
      <c r="Z59" s="123">
        <f>(Y59/12*2*$E59*$G59*$H59*$M59*$Z$11)+(Y59/12*10*$F59*$G59*$H59*$M59*$Z$12)</f>
        <v>0</v>
      </c>
      <c r="AA59" s="123"/>
      <c r="AB59" s="123">
        <f>(AA59/12*2*$E59*$G59*$H59*$M59*$AB$11)+(AA59/12*10*$F59*$G59*$H59*$M59*$AB$11)</f>
        <v>0</v>
      </c>
      <c r="AC59" s="123"/>
      <c r="AD59" s="123"/>
      <c r="AE59" s="123"/>
      <c r="AF59" s="123">
        <f>(AE59/12*2*$E59*$G59*$H59*$M59*$AF$11)+(AE59/12*10*$F59*$G59*$H59*$M59*$AF$11)</f>
        <v>0</v>
      </c>
      <c r="AG59" s="123"/>
      <c r="AH59" s="126">
        <f>(AG59/12*2*$E59*$G59*$H59*$M59*$AH$11)+(AG59/12*10*$F59*$G59*$H59*$M59*$AH$11)</f>
        <v>0</v>
      </c>
      <c r="AI59" s="123"/>
      <c r="AJ59" s="123">
        <f t="shared" ref="AJ59:AJ61" si="35">(AI59/12*2*$E59*$G59*$H59*$M59*$AJ$11)+(AI59/12*5*$F59*$G59*$H59*$M59*$AJ$12)+(AI59/12*5*$F59*$G59*$H59*$M59*$AJ$13)</f>
        <v>0</v>
      </c>
      <c r="AK59" s="123"/>
      <c r="AL59" s="123">
        <f t="shared" ref="AL59:AL61" si="36">(AK59/12*2*$E59*$G59*$H59*$N59*$AL$11)+(AK59/12*5*$F59*$G59*$H59*$N59*$AL$12)++(AK59/12*5*$F59*$G59*$H59*$N59*$AL$13)</f>
        <v>0</v>
      </c>
      <c r="AM59" s="132"/>
      <c r="AN59" s="123">
        <f>(AM59/12*2*$E59*$G59*$H59*$N59*$AN$11)+(AM59/12*10*$F59*$G59*$H59*$N59*$AN$12)</f>
        <v>0</v>
      </c>
      <c r="AO59" s="130"/>
      <c r="AP59" s="127">
        <f>(AO59/12*2*$E59*$G59*$H59*$N59*$AP$11)+(AO59/12*10*$F59*$G59*$H59*$N59*$AP$11)</f>
        <v>0</v>
      </c>
      <c r="AQ59" s="127">
        <v>0</v>
      </c>
      <c r="AR59" s="127">
        <v>0</v>
      </c>
      <c r="AS59" s="123"/>
      <c r="AT59" s="123">
        <f>(AS59/12*2*$E59*$G59*$H59*$M59*$AT$11)+(AS59/12*10*$F59*$G59*$H59*$M59*$AT$11)</f>
        <v>0</v>
      </c>
      <c r="AU59" s="123"/>
      <c r="AV59" s="126">
        <f>(AU59/12*2*$E59*$G59*$H59*$M59*$AV$11)+(AU59/12*10*$F59*$G59*$H59*$M59*$AV$12)</f>
        <v>0</v>
      </c>
      <c r="AW59" s="123"/>
      <c r="AX59" s="123">
        <f>(AW59/12*2*$E59*$G59*$H59*$M59*$AX$11)+(AW59/12*10*$F59*$G59*$H59*$M59*$AX$12)</f>
        <v>0</v>
      </c>
      <c r="AY59" s="131"/>
      <c r="AZ59" s="123">
        <f>(AY59/12*2*$E59*$G59*$H59*$N59*$AZ$11)+(AY59/12*10*$F59*$G59*$H59*$N59*$AZ$11)</f>
        <v>0</v>
      </c>
      <c r="BA59" s="123"/>
      <c r="BB59" s="123">
        <f>(BA59/12*2*$E59*$G59*$H59*$N59*$BB$11)+(BA59/12*10*$F59*$G59*$H59*$N59*$BB$12)</f>
        <v>0</v>
      </c>
      <c r="BC59" s="123"/>
      <c r="BD59" s="126">
        <f>(BC59/12*2*$E59*$G59*$H59*$N59*$BD$11)+(BC59/12*10*$F59*$G59*$H59*$N59*$BD$12)</f>
        <v>0</v>
      </c>
      <c r="BE59" s="123"/>
      <c r="BF59" s="123">
        <f>(BE59/12*10*$F59*$G59*$H59*$N59*$BF$12)</f>
        <v>0</v>
      </c>
      <c r="BG59" s="123"/>
      <c r="BH59" s="123">
        <f>(BG59/12*2*$E59*$G59*$H59*$N59*$BH$11)+(BG59/12*10*$F59*$G59*$H59*$N59*$BH$11)</f>
        <v>0</v>
      </c>
      <c r="BI59" s="123"/>
      <c r="BJ59" s="126">
        <f>(BI59/12*2*$E59*$G59*$H59*$N59*$BJ$11)+(BI59/12*10*$F59*$G59*$H59*$N59*$BJ$11)</f>
        <v>0</v>
      </c>
      <c r="BK59" s="123"/>
      <c r="BL59" s="127">
        <f>(BK59/12*2*$E59*$G59*$H59*$N59*$BL$11)+(BK59/12*10*$F59*$G59*$H59*$N59*$BL$11)</f>
        <v>0</v>
      </c>
      <c r="BM59" s="123"/>
      <c r="BN59" s="123">
        <f>(BM59/12*2*$E59*$G59*$H59*$M59*$BN$11)+(BM59/12*10*$F59*$G59*$H59*$M59*$BN$11)</f>
        <v>0</v>
      </c>
      <c r="BO59" s="123"/>
      <c r="BP59" s="123">
        <f>(BO59/12*2*$E59*$G59*$H59*$M59*$BP$11)+(BO59/12*10*$F59*$G59*$H59*$M59*$BP$12)</f>
        <v>0</v>
      </c>
      <c r="BQ59" s="123"/>
      <c r="BR59" s="123">
        <f>(BQ59/12*2*$E59*$G59*$H59*$M59*$BR$11)+(BQ59/12*10*$F59*$G59*$H59*$M59*$BR$11)</f>
        <v>0</v>
      </c>
      <c r="BS59" s="123"/>
      <c r="BT59" s="123">
        <f>(BS59/12*2*$E59*$G59*$H59*$N59*$BT$11)+(BS59/12*10*$F59*$G59*$H59*$N59*$BT$11)</f>
        <v>0</v>
      </c>
      <c r="BU59" s="123"/>
      <c r="BV59" s="126">
        <f>(BU59/12*2*$E59*$G59*$H59*$M59*$BV$11)+(BU59/12*10*$F59*$G59*$H59*$M59*$BV$11)</f>
        <v>0</v>
      </c>
      <c r="BW59" s="123"/>
      <c r="BX59" s="123">
        <f>(BW59/12*2*$E59*$G59*$H59*$M59*$BX$11)+(BW59/12*10*$F59*$G59*$H59*$M59*$BX$11)</f>
        <v>0</v>
      </c>
      <c r="BY59" s="123"/>
      <c r="BZ59" s="123">
        <f>(BY59/12*2*$E59*$G59*$H59*$M59*$BZ$11)+(BY59/12*10*$F59*$G59*$H59*$M59*$BZ$11)</f>
        <v>0</v>
      </c>
      <c r="CA59" s="123"/>
      <c r="CB59" s="123">
        <f>(CA59/12*2*$E59*$G59*$H59*$M59*$CB$11)+(CA59/12*10*$F59*$G59*$H59*$M59*$CB$11)</f>
        <v>0</v>
      </c>
      <c r="CC59" s="123"/>
      <c r="CD59" s="123">
        <f>(CC59/12*2*$E59*$G59*$H59*$M59*$CD$11)+(CC59/12*10*$F59*$G59*$H59*$M59*$CD$11)</f>
        <v>0</v>
      </c>
      <c r="CE59" s="123"/>
      <c r="CF59" s="123">
        <f>(CE59/12*10*$F59*$G59*$H59*$N59*$CF$11)</f>
        <v>0</v>
      </c>
      <c r="CG59" s="132"/>
      <c r="CH59" s="123">
        <f>(CG59/12*2*$E59*$G59*$H59*$N59*$CH$11)+(CG59/12*10*$F59*$G59*$H59*$N59*$CH$11)</f>
        <v>0</v>
      </c>
      <c r="CI59" s="123"/>
      <c r="CJ59" s="127">
        <f>(CI59*$E59*$G59*$H59*$N59*CJ$11)</f>
        <v>0</v>
      </c>
      <c r="CK59" s="123"/>
      <c r="CL59" s="123">
        <f>(CK59/12*2*$E59*$G59*$H59*$N59*$CL$11)+(CK59/12*10*$F59*$G59*$H59*$N59*$CL$12)</f>
        <v>0</v>
      </c>
      <c r="CM59" s="130"/>
      <c r="CN59" s="123">
        <f>(CM59/12*2*$E59*$G59*$H59*$N59*$CN$11)+(CM59/12*10*$F59*$G59*$H59*$N59*$CN$11)</f>
        <v>0</v>
      </c>
      <c r="CO59" s="123"/>
      <c r="CP59" s="123">
        <f>(CO59/12*2*$E59*$G59*$H59*$N59*$CP$11)+(CO59/12*10*$F59*$G59*$H59*$N59*$CP$11)</f>
        <v>0</v>
      </c>
      <c r="CQ59" s="123"/>
      <c r="CR59" s="123">
        <f>(CQ59/12*2*$E59*$G59*$H59*$O59*$CR$11)+(CQ59/12*10*$F59*$G59*$H59*$O59*$CR$11)</f>
        <v>0</v>
      </c>
      <c r="CS59" s="123"/>
      <c r="CT59" s="133">
        <f>(CS59/12*2*$E59*$G59*$H59*$P59*$CT$11)+(CS59/12*10*$F59*$G59*$H59*$P59*$CT$11)</f>
        <v>0</v>
      </c>
      <c r="CU59" s="127"/>
      <c r="CV59" s="127"/>
      <c r="CW59" s="126">
        <f t="shared" ref="CW59:CX61" si="37">SUM(Q59,S59,U59,W59,Y59,AA59,AC59,AE59,AG59,AM59,BQ59,AI59,AU59,CC59,AW59,AY59,AK59,BC59,AO59,AQ59,BE59,CE59,BG59,BI59,BK59,BS59,BM59,BO59,BU59,BW59,BY59,CA59,CG59,BA59,AS59,CI59,CK59,CM59,CO59,CQ59,CS59,CU59)</f>
        <v>116</v>
      </c>
      <c r="CX59" s="126">
        <f t="shared" si="37"/>
        <v>27766406.976466663</v>
      </c>
    </row>
    <row r="60" spans="1:102" ht="27.75" customHeight="1" x14ac:dyDescent="0.25">
      <c r="A60" s="91"/>
      <c r="B60" s="116">
        <v>39</v>
      </c>
      <c r="C60" s="160" t="s">
        <v>208</v>
      </c>
      <c r="D60" s="118" t="s">
        <v>209</v>
      </c>
      <c r="E60" s="95">
        <v>28004</v>
      </c>
      <c r="F60" s="96">
        <v>29405</v>
      </c>
      <c r="G60" s="119">
        <v>7.82</v>
      </c>
      <c r="H60" s="107">
        <v>1</v>
      </c>
      <c r="I60" s="108"/>
      <c r="J60" s="108"/>
      <c r="K60" s="108"/>
      <c r="L60" s="63"/>
      <c r="M60" s="120">
        <v>1.4</v>
      </c>
      <c r="N60" s="120">
        <v>1.68</v>
      </c>
      <c r="O60" s="120">
        <v>2.23</v>
      </c>
      <c r="P60" s="121">
        <v>2.57</v>
      </c>
      <c r="Q60" s="122"/>
      <c r="R60" s="123">
        <f>(Q60/12*2*$E60*$G60*$H60*$M60*$R$11)+(Q60/12*10*$F60*$G60*$H60*$M60*$R$11)</f>
        <v>0</v>
      </c>
      <c r="S60" s="124"/>
      <c r="T60" s="125">
        <f>(S60/12*2*$E60*$G60*$H60*$M60*$R$11)+(S60/12*10*$F60*$G60*$H60*$M60*$R$11)</f>
        <v>0</v>
      </c>
      <c r="U60" s="123">
        <v>60</v>
      </c>
      <c r="V60" s="123">
        <f>(U60/12*2*$E60*$G60*$H60*$M60*$V$11)+(U60/12*10*$F60*$G60*$H60*$M60*$V$12)</f>
        <v>25700304.097999997</v>
      </c>
      <c r="W60" s="123"/>
      <c r="X60" s="126">
        <f>(W60/12*2*$E60*$G60*$H60*$M60*$X$11)+(W60/12*10*$F60*$G60*$H60*$M60*$X$12)</f>
        <v>0</v>
      </c>
      <c r="Y60" s="123"/>
      <c r="Z60" s="123">
        <f>(Y60/12*2*$E60*$G60*$H60*$M60*$Z$11)+(Y60/12*10*$F60*$G60*$H60*$M60*$Z$12)</f>
        <v>0</v>
      </c>
      <c r="AA60" s="123"/>
      <c r="AB60" s="123">
        <f>(AA60/12*2*$E60*$G60*$H60*$M60*$AB$11)+(AA60/12*10*$F60*$G60*$H60*$M60*$AB$11)</f>
        <v>0</v>
      </c>
      <c r="AC60" s="123"/>
      <c r="AD60" s="123"/>
      <c r="AE60" s="123"/>
      <c r="AF60" s="123">
        <f>(AE60/12*2*$E60*$G60*$H60*$M60*$AF$11)+(AE60/12*10*$F60*$G60*$H60*$M60*$AF$11)</f>
        <v>0</v>
      </c>
      <c r="AG60" s="123"/>
      <c r="AH60" s="126">
        <f>(AG60/12*2*$E60*$G60*$H60*$M60*$AH$11)+(AG60/12*10*$F60*$G60*$H60*$M60*$AH$11)</f>
        <v>0</v>
      </c>
      <c r="AI60" s="123"/>
      <c r="AJ60" s="123">
        <f t="shared" si="35"/>
        <v>0</v>
      </c>
      <c r="AK60" s="123"/>
      <c r="AL60" s="123">
        <f t="shared" si="36"/>
        <v>0</v>
      </c>
      <c r="AM60" s="132"/>
      <c r="AN60" s="123">
        <f>(AM60/12*2*$E60*$G60*$H60*$N60*$AN$11)+(AM60/12*10*$F60*$G60*$H60*$N60*$AN$12)</f>
        <v>0</v>
      </c>
      <c r="AO60" s="130"/>
      <c r="AP60" s="127">
        <f>(AO60/12*2*$E60*$G60*$H60*$N60*$AP$11)+(AO60/12*10*$F60*$G60*$H60*$N60*$AP$11)</f>
        <v>0</v>
      </c>
      <c r="AQ60" s="127">
        <v>0</v>
      </c>
      <c r="AR60" s="127">
        <v>0</v>
      </c>
      <c r="AS60" s="123"/>
      <c r="AT60" s="123">
        <f>(AS60/12*2*$E60*$G60*$H60*$M60*$AT$11)+(AS60/12*10*$F60*$G60*$H60*$M60*$AT$11)</f>
        <v>0</v>
      </c>
      <c r="AU60" s="123"/>
      <c r="AV60" s="126">
        <f>(AU60/12*2*$E60*$G60*$H60*$M60*$AV$11)+(AU60/12*10*$F60*$G60*$H60*$M60*$AV$12)</f>
        <v>0</v>
      </c>
      <c r="AW60" s="123"/>
      <c r="AX60" s="123">
        <f>(AW60/12*2*$E60*$G60*$H60*$M60*$AX$11)+(AW60/12*10*$F60*$G60*$H60*$M60*$AX$12)</f>
        <v>0</v>
      </c>
      <c r="AY60" s="131"/>
      <c r="AZ60" s="123">
        <f>(AY60/12*2*$E60*$G60*$H60*$N60*$AZ$11)+(AY60/12*10*$F60*$G60*$H60*$N60*$AZ$11)</f>
        <v>0</v>
      </c>
      <c r="BA60" s="123"/>
      <c r="BB60" s="123">
        <f>(BA60/12*2*$E60*$G60*$H60*$N60*$BB$11)+(BA60/12*10*$F60*$G60*$H60*$N60*$BB$12)</f>
        <v>0</v>
      </c>
      <c r="BC60" s="123"/>
      <c r="BD60" s="126">
        <f>(BC60/12*2*$E60*$G60*$H60*$N60*$BD$11)+(BC60/12*10*$F60*$G60*$H60*$N60*$BD$12)</f>
        <v>0</v>
      </c>
      <c r="BE60" s="123"/>
      <c r="BF60" s="123">
        <f>(BE60/12*10*$F60*$G60*$H60*$N60*$BF$12)</f>
        <v>0</v>
      </c>
      <c r="BG60" s="123"/>
      <c r="BH60" s="123">
        <f>(BG60/12*2*$E60*$G60*$H60*$N60*$BH$11)+(BG60/12*10*$F60*$G60*$H60*$N60*$BH$11)</f>
        <v>0</v>
      </c>
      <c r="BI60" s="123"/>
      <c r="BJ60" s="126">
        <f>(BI60/12*2*$E60*$G60*$H60*$N60*$BJ$11)+(BI60/12*10*$F60*$G60*$H60*$N60*$BJ$11)</f>
        <v>0</v>
      </c>
      <c r="BK60" s="123"/>
      <c r="BL60" s="127">
        <f>(BK60/12*2*$E60*$G60*$H60*$N60*$BL$11)+(BK60/12*10*$F60*$G60*$H60*$N60*$BL$11)</f>
        <v>0</v>
      </c>
      <c r="BM60" s="123"/>
      <c r="BN60" s="123">
        <f>(BM60/12*2*$E60*$G60*$H60*$M60*$BN$11)+(BM60/12*10*$F60*$G60*$H60*$M60*$BN$11)</f>
        <v>0</v>
      </c>
      <c r="BO60" s="123"/>
      <c r="BP60" s="123">
        <f>(BO60/12*2*$E60*$G60*$H60*$M60*$BP$11)+(BO60/12*10*$F60*$G60*$H60*$M60*$BP$12)</f>
        <v>0</v>
      </c>
      <c r="BQ60" s="123"/>
      <c r="BR60" s="123">
        <f>(BQ60/12*2*$E60*$G60*$H60*$M60*$BR$11)+(BQ60/12*10*$F60*$G60*$H60*$M60*$BR$11)</f>
        <v>0</v>
      </c>
      <c r="BS60" s="123"/>
      <c r="BT60" s="123">
        <f>(BS60/12*2*$E60*$G60*$H60*$N60*$BT$11)+(BS60/12*10*$F60*$G60*$H60*$N60*$BT$11)</f>
        <v>0</v>
      </c>
      <c r="BU60" s="123"/>
      <c r="BV60" s="126">
        <f>(BU60/12*2*$E60*$G60*$H60*$M60*$BV$11)+(BU60/12*10*$F60*$G60*$H60*$M60*$BV$11)</f>
        <v>0</v>
      </c>
      <c r="BW60" s="123"/>
      <c r="BX60" s="123">
        <f>(BW60/12*2*$E60*$G60*$H60*$M60*$BX$11)+(BW60/12*10*$F60*$G60*$H60*$M60*$BX$11)</f>
        <v>0</v>
      </c>
      <c r="BY60" s="123"/>
      <c r="BZ60" s="123">
        <f>(BY60/12*2*$E60*$G60*$H60*$M60*$BZ$11)+(BY60/12*10*$F60*$G60*$H60*$M60*$BZ$11)</f>
        <v>0</v>
      </c>
      <c r="CA60" s="123"/>
      <c r="CB60" s="123">
        <f>(CA60/12*2*$E60*$G60*$H60*$M60*$CB$11)+(CA60/12*10*$F60*$G60*$H60*$M60*$CB$11)</f>
        <v>0</v>
      </c>
      <c r="CC60" s="123"/>
      <c r="CD60" s="123">
        <f>(CC60/12*2*$E60*$G60*$H60*$M60*$CD$11)+(CC60/12*10*$F60*$G60*$H60*$M60*$CD$11)</f>
        <v>0</v>
      </c>
      <c r="CE60" s="123"/>
      <c r="CF60" s="123">
        <f>(CE60/12*10*$F60*$G60*$H60*$N60*$CF$11)</f>
        <v>0</v>
      </c>
      <c r="CG60" s="132"/>
      <c r="CH60" s="123">
        <f>(CG60/12*2*$E60*$G60*$H60*$N60*$CH$11)+(CG60/12*10*$F60*$G60*$H60*$N60*$CH$11)</f>
        <v>0</v>
      </c>
      <c r="CI60" s="123"/>
      <c r="CJ60" s="127">
        <f>(CI60*$E60*$G60*$H60*$N60*CJ$11)</f>
        <v>0</v>
      </c>
      <c r="CK60" s="123"/>
      <c r="CL60" s="123">
        <f>(CK60/12*2*$E60*$G60*$H60*$N60*$CL$11)+(CK60/12*10*$F60*$G60*$H60*$N60*$CL$12)</f>
        <v>0</v>
      </c>
      <c r="CM60" s="130"/>
      <c r="CN60" s="123">
        <f>(CM60/12*2*$E60*$G60*$H60*$N60*$CN$11)+(CM60/12*10*$F60*$G60*$H60*$N60*$CN$11)</f>
        <v>0</v>
      </c>
      <c r="CO60" s="123"/>
      <c r="CP60" s="123">
        <f>(CO60/12*2*$E60*$G60*$H60*$N60*$CP$11)+(CO60/12*10*$F60*$G60*$H60*$N60*$CP$11)</f>
        <v>0</v>
      </c>
      <c r="CQ60" s="123"/>
      <c r="CR60" s="123">
        <f>(CQ60/12*2*$E60*$G60*$H60*$O60*$CR$11)+(CQ60/12*10*$F60*$G60*$H60*$O60*$CR$11)</f>
        <v>0</v>
      </c>
      <c r="CS60" s="123"/>
      <c r="CT60" s="133">
        <f>(CS60/12*2*$E60*$G60*$H60*$P60*$CT$11)+(CS60/12*10*$F60*$G60*$H60*$P60*$CT$11)</f>
        <v>0</v>
      </c>
      <c r="CU60" s="127"/>
      <c r="CV60" s="127"/>
      <c r="CW60" s="126">
        <f t="shared" si="37"/>
        <v>60</v>
      </c>
      <c r="CX60" s="126">
        <f t="shared" si="37"/>
        <v>25700304.097999997</v>
      </c>
    </row>
    <row r="61" spans="1:102" ht="30" customHeight="1" x14ac:dyDescent="0.25">
      <c r="A61" s="91"/>
      <c r="B61" s="116">
        <v>40</v>
      </c>
      <c r="C61" s="160" t="s">
        <v>210</v>
      </c>
      <c r="D61" s="118" t="s">
        <v>211</v>
      </c>
      <c r="E61" s="95">
        <v>28004</v>
      </c>
      <c r="F61" s="96">
        <v>29405</v>
      </c>
      <c r="G61" s="152">
        <v>5.68</v>
      </c>
      <c r="H61" s="107">
        <v>1</v>
      </c>
      <c r="I61" s="108"/>
      <c r="J61" s="108"/>
      <c r="K61" s="108"/>
      <c r="L61" s="63"/>
      <c r="M61" s="120">
        <v>1.4</v>
      </c>
      <c r="N61" s="120">
        <v>1.68</v>
      </c>
      <c r="O61" s="120">
        <v>2.23</v>
      </c>
      <c r="P61" s="121">
        <v>2.57</v>
      </c>
      <c r="Q61" s="122"/>
      <c r="R61" s="123">
        <f>(Q61/12*2*$E61*$G61*$H61*$M61*$R$11)+(Q61/12*10*$F61*$G61*$H61*$M61*$R$11)</f>
        <v>0</v>
      </c>
      <c r="S61" s="124"/>
      <c r="T61" s="125">
        <f>(S61/12*2*$E61*$G61*$H61*$M61*$R$11)+(S61/12*10*$F61*$G61*$H61*$M61*$R$11)</f>
        <v>0</v>
      </c>
      <c r="U61" s="123">
        <v>60</v>
      </c>
      <c r="V61" s="123">
        <f>(U61/12*2*$E61*$G61*$H61*$M61*$V$11)+(U61/12*10*$F61*$G61*$H61*$M61*$V$12)</f>
        <v>18667228.552000001</v>
      </c>
      <c r="W61" s="123"/>
      <c r="X61" s="126">
        <f>(W61/12*2*$E61*$G61*$H61*$M61*$X$11)+(W61/12*10*$F61*$G61*$H61*$M61*$X$12)</f>
        <v>0</v>
      </c>
      <c r="Y61" s="123"/>
      <c r="Z61" s="123">
        <f>(Y61/12*2*$E61*$G61*$H61*$M61*$Z$11)+(Y61/12*10*$F61*$G61*$H61*$M61*$Z$12)</f>
        <v>0</v>
      </c>
      <c r="AA61" s="123"/>
      <c r="AB61" s="123">
        <f>(AA61/12*2*$E61*$G61*$H61*$M61*$AB$11)+(AA61/12*10*$F61*$G61*$H61*$M61*$AB$11)</f>
        <v>0</v>
      </c>
      <c r="AC61" s="123"/>
      <c r="AD61" s="123"/>
      <c r="AE61" s="123"/>
      <c r="AF61" s="123">
        <f>(AE61/12*2*$E61*$G61*$H61*$M61*$AF$11)+(AE61/12*10*$F61*$G61*$H61*$M61*$AF$11)</f>
        <v>0</v>
      </c>
      <c r="AG61" s="123"/>
      <c r="AH61" s="126">
        <f>(AG61/12*2*$E61*$G61*$H61*$M61*$AH$11)+(AG61/12*10*$F61*$G61*$H61*$M61*$AH$11)</f>
        <v>0</v>
      </c>
      <c r="AI61" s="123"/>
      <c r="AJ61" s="123">
        <f t="shared" si="35"/>
        <v>0</v>
      </c>
      <c r="AK61" s="123"/>
      <c r="AL61" s="123">
        <f t="shared" si="36"/>
        <v>0</v>
      </c>
      <c r="AM61" s="132"/>
      <c r="AN61" s="123">
        <f>(AM61/12*2*$E61*$G61*$H61*$N61*$AN$11)+(AM61/12*10*$F61*$G61*$H61*$N61*$AN$12)</f>
        <v>0</v>
      </c>
      <c r="AO61" s="130"/>
      <c r="AP61" s="127">
        <f>(AO61/12*2*$E61*$G61*$H61*$N61*$AP$11)+(AO61/12*10*$F61*$G61*$H61*$N61*$AP$11)</f>
        <v>0</v>
      </c>
      <c r="AQ61" s="127">
        <v>0</v>
      </c>
      <c r="AR61" s="127">
        <v>0</v>
      </c>
      <c r="AS61" s="123"/>
      <c r="AT61" s="123">
        <f>(AS61/12*2*$E61*$G61*$H61*$M61*$AT$11)+(AS61/12*10*$F61*$G61*$H61*$M61*$AT$11)</f>
        <v>0</v>
      </c>
      <c r="AU61" s="123"/>
      <c r="AV61" s="126">
        <f>(AU61/12*2*$E61*$G61*$H61*$M61*$AV$11)+(AU61/12*10*$F61*$G61*$H61*$M61*$AV$12)</f>
        <v>0</v>
      </c>
      <c r="AW61" s="123"/>
      <c r="AX61" s="123">
        <f>(AW61/12*2*$E61*$G61*$H61*$M61*$AX$11)+(AW61/12*10*$F61*$G61*$H61*$M61*$AX$12)</f>
        <v>0</v>
      </c>
      <c r="AY61" s="131"/>
      <c r="AZ61" s="123">
        <f>(AY61/12*2*$E61*$G61*$H61*$N61*$AZ$11)+(AY61/12*10*$F61*$G61*$H61*$N61*$AZ$11)</f>
        <v>0</v>
      </c>
      <c r="BA61" s="123"/>
      <c r="BB61" s="123">
        <f>(BA61/12*2*$E61*$G61*$H61*$N61*$BB$11)+(BA61/12*10*$F61*$G61*$H61*$N61*$BB$12)</f>
        <v>0</v>
      </c>
      <c r="BC61" s="123"/>
      <c r="BD61" s="126">
        <f>(BC61/12*2*$E61*$G61*$H61*$N61*$BD$11)+(BC61/12*10*$F61*$G61*$H61*$N61*$BD$12)</f>
        <v>0</v>
      </c>
      <c r="BE61" s="123"/>
      <c r="BF61" s="123">
        <f>(BE61/12*10*$F61*$G61*$H61*$N61*$BF$12)</f>
        <v>0</v>
      </c>
      <c r="BG61" s="123"/>
      <c r="BH61" s="123">
        <f>(BG61/12*2*$E61*$G61*$H61*$N61*$BH$11)+(BG61/12*10*$F61*$G61*$H61*$N61*$BH$11)</f>
        <v>0</v>
      </c>
      <c r="BI61" s="123"/>
      <c r="BJ61" s="126">
        <f>(BI61/12*2*$E61*$G61*$H61*$N61*$BJ$11)+(BI61/12*10*$F61*$G61*$H61*$N61*$BJ$11)</f>
        <v>0</v>
      </c>
      <c r="BK61" s="123"/>
      <c r="BL61" s="127">
        <f>(BK61/12*2*$E61*$G61*$H61*$N61*$BL$11)+(BK61/12*10*$F61*$G61*$H61*$N61*$BL$11)</f>
        <v>0</v>
      </c>
      <c r="BM61" s="123"/>
      <c r="BN61" s="123">
        <f>(BM61/12*2*$E61*$G61*$H61*$M61*$BN$11)+(BM61/12*10*$F61*$G61*$H61*$M61*$BN$11)</f>
        <v>0</v>
      </c>
      <c r="BO61" s="123"/>
      <c r="BP61" s="123">
        <f>(BO61/12*2*$E61*$G61*$H61*$M61*$BP$11)+(BO61/12*10*$F61*$G61*$H61*$M61*$BP$12)</f>
        <v>0</v>
      </c>
      <c r="BQ61" s="123"/>
      <c r="BR61" s="123">
        <f>(BQ61/12*2*$E61*$G61*$H61*$M61*$BR$11)+(BQ61/12*10*$F61*$G61*$H61*$M61*$BR$11)</f>
        <v>0</v>
      </c>
      <c r="BS61" s="123"/>
      <c r="BT61" s="123">
        <f>(BS61/12*2*$E61*$G61*$H61*$N61*$BT$11)+(BS61/12*10*$F61*$G61*$H61*$N61*$BT$11)</f>
        <v>0</v>
      </c>
      <c r="BU61" s="123"/>
      <c r="BV61" s="126">
        <f>(BU61/12*2*$E61*$G61*$H61*$M61*$BV$11)+(BU61/12*10*$F61*$G61*$H61*$M61*$BV$11)</f>
        <v>0</v>
      </c>
      <c r="BW61" s="123"/>
      <c r="BX61" s="123">
        <f>(BW61/12*2*$E61*$G61*$H61*$M61*$BX$11)+(BW61/12*10*$F61*$G61*$H61*$M61*$BX$11)</f>
        <v>0</v>
      </c>
      <c r="BY61" s="123"/>
      <c r="BZ61" s="123">
        <f>(BY61/12*2*$E61*$G61*$H61*$M61*$BZ$11)+(BY61/12*10*$F61*$G61*$H61*$M61*$BZ$11)</f>
        <v>0</v>
      </c>
      <c r="CA61" s="123"/>
      <c r="CB61" s="123">
        <f>(CA61/12*2*$E61*$G61*$H61*$M61*$CB$11)+(CA61/12*10*$F61*$G61*$H61*$M61*$CB$11)</f>
        <v>0</v>
      </c>
      <c r="CC61" s="123"/>
      <c r="CD61" s="123">
        <f>(CC61/12*2*$E61*$G61*$H61*$M61*$CD$11)+(CC61/12*10*$F61*$G61*$H61*$M61*$CD$11)</f>
        <v>0</v>
      </c>
      <c r="CE61" s="123"/>
      <c r="CF61" s="123">
        <f>(CE61/12*10*$F61*$G61*$H61*$N61*$CF$11)</f>
        <v>0</v>
      </c>
      <c r="CG61" s="132"/>
      <c r="CH61" s="123">
        <f>(CG61/12*2*$E61*$G61*$H61*$N61*$CH$11)+(CG61/12*10*$F61*$G61*$H61*$N61*$CH$11)</f>
        <v>0</v>
      </c>
      <c r="CI61" s="123"/>
      <c r="CJ61" s="127">
        <f>(CI61*$E61*$G61*$H61*$N61*CJ$11)</f>
        <v>0</v>
      </c>
      <c r="CK61" s="123"/>
      <c r="CL61" s="123">
        <f>(CK61/12*2*$E61*$G61*$H61*$N61*$CL$11)+(CK61/12*10*$F61*$G61*$H61*$N61*$CL$12)</f>
        <v>0</v>
      </c>
      <c r="CM61" s="130"/>
      <c r="CN61" s="123">
        <f>(CM61/12*2*$E61*$G61*$H61*$N61*$CN$11)+(CM61/12*10*$F61*$G61*$H61*$N61*$CN$11)</f>
        <v>0</v>
      </c>
      <c r="CO61" s="123"/>
      <c r="CP61" s="123">
        <f>(CO61/12*2*$E61*$G61*$H61*$N61*$CP$11)+(CO61/12*10*$F61*$G61*$H61*$N61*$CP$11)</f>
        <v>0</v>
      </c>
      <c r="CQ61" s="123"/>
      <c r="CR61" s="123">
        <f>(CQ61/12*2*$E61*$G61*$H61*$O61*$CR$11)+(CQ61/12*10*$F61*$G61*$H61*$O61*$CR$11)</f>
        <v>0</v>
      </c>
      <c r="CS61" s="123"/>
      <c r="CT61" s="133">
        <f>(CS61/12*2*$E61*$G61*$H61*$P61*$CT$11)+(CS61/12*10*$F61*$G61*$H61*$P61*$CT$11)</f>
        <v>0</v>
      </c>
      <c r="CU61" s="127"/>
      <c r="CV61" s="127"/>
      <c r="CW61" s="126">
        <f t="shared" si="37"/>
        <v>60</v>
      </c>
      <c r="CX61" s="126">
        <f t="shared" si="37"/>
        <v>18667228.552000001</v>
      </c>
    </row>
    <row r="62" spans="1:102" ht="15.75" customHeight="1" x14ac:dyDescent="0.25">
      <c r="A62" s="109">
        <v>9</v>
      </c>
      <c r="B62" s="150"/>
      <c r="C62" s="93" t="s">
        <v>212</v>
      </c>
      <c r="D62" s="94" t="s">
        <v>213</v>
      </c>
      <c r="E62" s="95">
        <v>28004</v>
      </c>
      <c r="F62" s="96">
        <v>29405</v>
      </c>
      <c r="G62" s="151">
        <v>1.1499999999999999</v>
      </c>
      <c r="H62" s="110"/>
      <c r="I62" s="108"/>
      <c r="J62" s="108"/>
      <c r="K62" s="108"/>
      <c r="L62" s="111"/>
      <c r="M62" s="112">
        <v>1.4</v>
      </c>
      <c r="N62" s="112">
        <v>1.68</v>
      </c>
      <c r="O62" s="112">
        <v>2.23</v>
      </c>
      <c r="P62" s="113">
        <v>2.57</v>
      </c>
      <c r="Q62" s="103">
        <f>SUM(Q63:Q73)</f>
        <v>0</v>
      </c>
      <c r="R62" s="104">
        <f>SUM(R63:R73)</f>
        <v>0</v>
      </c>
      <c r="S62" s="114">
        <f t="shared" ref="S62:CD62" si="38">SUM(S63:S73)</f>
        <v>0</v>
      </c>
      <c r="T62" s="115">
        <f t="shared" si="38"/>
        <v>0</v>
      </c>
      <c r="U62" s="104">
        <f t="shared" si="38"/>
        <v>901</v>
      </c>
      <c r="V62" s="104">
        <f t="shared" si="38"/>
        <v>69765402.456505284</v>
      </c>
      <c r="W62" s="104">
        <f t="shared" si="38"/>
        <v>35</v>
      </c>
      <c r="X62" s="104">
        <f t="shared" si="38"/>
        <v>2243025.2617500005</v>
      </c>
      <c r="Y62" s="104">
        <f t="shared" si="38"/>
        <v>0</v>
      </c>
      <c r="Z62" s="104">
        <f t="shared" si="38"/>
        <v>0</v>
      </c>
      <c r="AA62" s="104">
        <f t="shared" si="38"/>
        <v>0</v>
      </c>
      <c r="AB62" s="104">
        <f t="shared" si="38"/>
        <v>0</v>
      </c>
      <c r="AC62" s="104">
        <f t="shared" si="38"/>
        <v>0</v>
      </c>
      <c r="AD62" s="104">
        <f t="shared" si="38"/>
        <v>0</v>
      </c>
      <c r="AE62" s="104">
        <f t="shared" si="38"/>
        <v>0</v>
      </c>
      <c r="AF62" s="105">
        <f t="shared" si="38"/>
        <v>0</v>
      </c>
      <c r="AG62" s="104">
        <f t="shared" si="38"/>
        <v>2</v>
      </c>
      <c r="AH62" s="104">
        <f t="shared" si="38"/>
        <v>123541.30249999998</v>
      </c>
      <c r="AI62" s="106">
        <f t="shared" si="38"/>
        <v>0</v>
      </c>
      <c r="AJ62" s="104">
        <f t="shared" si="38"/>
        <v>0</v>
      </c>
      <c r="AK62" s="104">
        <f t="shared" si="38"/>
        <v>201</v>
      </c>
      <c r="AL62" s="104">
        <f t="shared" si="38"/>
        <v>13294032.037720002</v>
      </c>
      <c r="AM62" s="104">
        <f t="shared" si="38"/>
        <v>0</v>
      </c>
      <c r="AN62" s="104">
        <f t="shared" si="38"/>
        <v>0</v>
      </c>
      <c r="AO62" s="106">
        <f t="shared" si="38"/>
        <v>0</v>
      </c>
      <c r="AP62" s="104">
        <f t="shared" si="38"/>
        <v>0</v>
      </c>
      <c r="AQ62" s="104">
        <v>0</v>
      </c>
      <c r="AR62" s="104">
        <v>0</v>
      </c>
      <c r="AS62" s="104">
        <f t="shared" si="38"/>
        <v>0</v>
      </c>
      <c r="AT62" s="104">
        <f t="shared" si="38"/>
        <v>0</v>
      </c>
      <c r="AU62" s="104">
        <f t="shared" si="38"/>
        <v>0</v>
      </c>
      <c r="AV62" s="104">
        <f t="shared" si="38"/>
        <v>0</v>
      </c>
      <c r="AW62" s="104">
        <f t="shared" si="38"/>
        <v>5</v>
      </c>
      <c r="AX62" s="104">
        <f t="shared" si="38"/>
        <v>227706.38449999999</v>
      </c>
      <c r="AY62" s="104">
        <f t="shared" si="38"/>
        <v>27</v>
      </c>
      <c r="AZ62" s="104">
        <f t="shared" si="38"/>
        <v>1490581.9698000001</v>
      </c>
      <c r="BA62" s="104">
        <f t="shared" si="38"/>
        <v>0</v>
      </c>
      <c r="BB62" s="104">
        <f t="shared" si="38"/>
        <v>0</v>
      </c>
      <c r="BC62" s="104">
        <f t="shared" si="38"/>
        <v>0</v>
      </c>
      <c r="BD62" s="104">
        <f t="shared" si="38"/>
        <v>0</v>
      </c>
      <c r="BE62" s="104">
        <f t="shared" si="38"/>
        <v>7</v>
      </c>
      <c r="BF62" s="104">
        <f t="shared" si="38"/>
        <v>291050.69</v>
      </c>
      <c r="BG62" s="104">
        <f t="shared" si="38"/>
        <v>0</v>
      </c>
      <c r="BH62" s="104">
        <f t="shared" si="38"/>
        <v>0</v>
      </c>
      <c r="BI62" s="104">
        <f t="shared" si="38"/>
        <v>14</v>
      </c>
      <c r="BJ62" s="104">
        <f t="shared" si="38"/>
        <v>873912.79583999992</v>
      </c>
      <c r="BK62" s="104">
        <f t="shared" si="38"/>
        <v>9</v>
      </c>
      <c r="BL62" s="104">
        <f t="shared" si="38"/>
        <v>703952.63567999983</v>
      </c>
      <c r="BM62" s="104">
        <f t="shared" si="38"/>
        <v>0</v>
      </c>
      <c r="BN62" s="104">
        <f t="shared" si="38"/>
        <v>0</v>
      </c>
      <c r="BO62" s="104">
        <f t="shared" si="38"/>
        <v>0</v>
      </c>
      <c r="BP62" s="104">
        <f t="shared" si="38"/>
        <v>0</v>
      </c>
      <c r="BQ62" s="104">
        <f t="shared" si="38"/>
        <v>0</v>
      </c>
      <c r="BR62" s="104">
        <f t="shared" si="38"/>
        <v>0</v>
      </c>
      <c r="BS62" s="104">
        <f t="shared" si="38"/>
        <v>4</v>
      </c>
      <c r="BT62" s="104">
        <f t="shared" si="38"/>
        <v>203873.77919999999</v>
      </c>
      <c r="BU62" s="104">
        <f t="shared" si="38"/>
        <v>0</v>
      </c>
      <c r="BV62" s="104">
        <f t="shared" si="38"/>
        <v>0</v>
      </c>
      <c r="BW62" s="104">
        <f t="shared" si="38"/>
        <v>0</v>
      </c>
      <c r="BX62" s="104">
        <f t="shared" si="38"/>
        <v>0</v>
      </c>
      <c r="BY62" s="104">
        <f t="shared" si="38"/>
        <v>6</v>
      </c>
      <c r="BZ62" s="104">
        <f t="shared" si="38"/>
        <v>237689.38199999998</v>
      </c>
      <c r="CA62" s="104">
        <f t="shared" si="38"/>
        <v>0</v>
      </c>
      <c r="CB62" s="104">
        <f t="shared" si="38"/>
        <v>0</v>
      </c>
      <c r="CC62" s="104">
        <f t="shared" si="38"/>
        <v>2</v>
      </c>
      <c r="CD62" s="104">
        <f t="shared" si="38"/>
        <v>79229.79399999998</v>
      </c>
      <c r="CE62" s="104">
        <f t="shared" ref="CE62:CX62" si="39">SUM(CE63:CE73)</f>
        <v>4</v>
      </c>
      <c r="CF62" s="104">
        <f t="shared" si="39"/>
        <v>159727.96</v>
      </c>
      <c r="CG62" s="104">
        <f t="shared" si="39"/>
        <v>0</v>
      </c>
      <c r="CH62" s="104">
        <f t="shared" si="39"/>
        <v>0</v>
      </c>
      <c r="CI62" s="104">
        <f t="shared" si="39"/>
        <v>0</v>
      </c>
      <c r="CJ62" s="104">
        <f t="shared" si="39"/>
        <v>0</v>
      </c>
      <c r="CK62" s="104">
        <f t="shared" si="39"/>
        <v>0</v>
      </c>
      <c r="CL62" s="104">
        <f t="shared" si="39"/>
        <v>0</v>
      </c>
      <c r="CM62" s="104">
        <f t="shared" si="39"/>
        <v>0</v>
      </c>
      <c r="CN62" s="104">
        <f t="shared" si="39"/>
        <v>0</v>
      </c>
      <c r="CO62" s="104">
        <f t="shared" si="39"/>
        <v>0</v>
      </c>
      <c r="CP62" s="104">
        <f t="shared" si="39"/>
        <v>0</v>
      </c>
      <c r="CQ62" s="104">
        <f t="shared" si="39"/>
        <v>0</v>
      </c>
      <c r="CR62" s="104">
        <f t="shared" si="39"/>
        <v>0</v>
      </c>
      <c r="CS62" s="104">
        <f t="shared" si="39"/>
        <v>0</v>
      </c>
      <c r="CT62" s="104">
        <f t="shared" si="39"/>
        <v>0</v>
      </c>
      <c r="CU62" s="104">
        <f t="shared" si="39"/>
        <v>0</v>
      </c>
      <c r="CV62" s="104">
        <f t="shared" si="39"/>
        <v>0</v>
      </c>
      <c r="CW62" s="104">
        <f t="shared" si="39"/>
        <v>1217</v>
      </c>
      <c r="CX62" s="104">
        <f t="shared" si="39"/>
        <v>89693726.449495286</v>
      </c>
    </row>
    <row r="63" spans="1:102" ht="30" customHeight="1" x14ac:dyDescent="0.25">
      <c r="A63" s="91"/>
      <c r="B63" s="116">
        <v>41</v>
      </c>
      <c r="C63" s="117" t="s">
        <v>214</v>
      </c>
      <c r="D63" s="118" t="s">
        <v>215</v>
      </c>
      <c r="E63" s="95">
        <v>28004</v>
      </c>
      <c r="F63" s="96">
        <v>29405</v>
      </c>
      <c r="G63" s="119">
        <v>0.97</v>
      </c>
      <c r="H63" s="107">
        <v>1</v>
      </c>
      <c r="I63" s="108"/>
      <c r="J63" s="108"/>
      <c r="K63" s="108"/>
      <c r="L63" s="63"/>
      <c r="M63" s="120">
        <v>1.4</v>
      </c>
      <c r="N63" s="120">
        <v>1.68</v>
      </c>
      <c r="O63" s="120">
        <v>2.23</v>
      </c>
      <c r="P63" s="121">
        <v>2.57</v>
      </c>
      <c r="Q63" s="122"/>
      <c r="R63" s="123">
        <f>(Q63/12*2*$E63*$G63*$H63*$M63*$R$11)+(Q63/12*10*$F63*$G63*$H63*$M63*$R$11)</f>
        <v>0</v>
      </c>
      <c r="S63" s="124"/>
      <c r="T63" s="125">
        <f>(S63/12*2*$E63*$G63*$H63*$M63*$R$11)+(S63/12*10*$F63*$G63*$H63*$M63*$R$11)</f>
        <v>0</v>
      </c>
      <c r="U63" s="123">
        <v>522</v>
      </c>
      <c r="V63" s="123">
        <f>(U63/12*2*$E63*$G63*$H63*$M63*$V$11)+(U63/12*10*$F63*$G63*$H63*$M63*$V$12)</f>
        <v>27734637.632100001</v>
      </c>
      <c r="W63" s="123">
        <v>0</v>
      </c>
      <c r="X63" s="126">
        <f>(W63/12*2*$E63*$G63*$H63*$M63*$X$11)+(W63/12*10*$F63*$G63*$H63*$M63*$X$12)</f>
        <v>0</v>
      </c>
      <c r="Y63" s="123"/>
      <c r="Z63" s="123">
        <f>(Y63/12*2*$E63*$G63*$H63*$M63*$Z$11)+(Y63/12*10*$F63*$G63*$H63*$M63*$Z$12)</f>
        <v>0</v>
      </c>
      <c r="AA63" s="123"/>
      <c r="AB63" s="123">
        <f>(AA63/12*2*$E63*$G63*$H63*$M63*$AB$11)+(AA63/12*10*$F63*$G63*$H63*$M63*$AB$11)</f>
        <v>0</v>
      </c>
      <c r="AC63" s="123"/>
      <c r="AD63" s="123"/>
      <c r="AE63" s="123"/>
      <c r="AF63" s="127">
        <f>(AE63/12*2*$E63*$G63*$H63*$M63*$AF$11)+(AE63/12*10*$F63*$G63*$H63*$M63*$AF$11)</f>
        <v>0</v>
      </c>
      <c r="AG63" s="123">
        <v>1</v>
      </c>
      <c r="AH63" s="126">
        <f>(AG63/12*2*$E63*$G63*$H63*$M63*$AH$11)+(AG63/12*10*$F63*$G63*$H63*$M63*$AH$11)</f>
        <v>43576.386699999988</v>
      </c>
      <c r="AI63" s="130"/>
      <c r="AJ63" s="123">
        <f t="shared" ref="AJ63:AJ64" si="40">(AI63/12*2*$E63*$G63*$H63*$M63*$AJ$11)+(AI63/12*5*$F63*$G63*$H63*$M63*$AJ$12)+(AI63/12*5*$F63*$G63*$H63*$M63*$AJ$13)</f>
        <v>0</v>
      </c>
      <c r="AK63" s="123">
        <v>144</v>
      </c>
      <c r="AL63" s="123">
        <f t="shared" ref="AL63:AL64" si="41">(AK63/12*2*$E63*$G63*$H63*$N63*$AL$11)+(AK63/12*5*$F63*$G63*$H63*$N63*$AL$12)++(AK63/12*5*$F63*$G63*$H63*$N63*$AL$13)</f>
        <v>8841588.3964799996</v>
      </c>
      <c r="AM63" s="132"/>
      <c r="AN63" s="123">
        <f>(AM63/12*2*$E63*$G63*$H63*$N63*$AN$11)+(AM63/12*10*$F63*$G63*$H63*$N63*$AN$12)</f>
        <v>0</v>
      </c>
      <c r="AO63" s="130"/>
      <c r="AP63" s="127">
        <f>(AO63/12*2*$E63*$G63*$H63*$N63*$AP$11)+(AO63/12*10*$F63*$G63*$H63*$N63*$AP$11)</f>
        <v>0</v>
      </c>
      <c r="AQ63" s="127">
        <v>0</v>
      </c>
      <c r="AR63" s="127">
        <v>0</v>
      </c>
      <c r="AS63" s="123"/>
      <c r="AT63" s="123">
        <f>(AS63/12*2*$E63*$G63*$H63*$M63*$AT$11)+(AS63/12*10*$F63*$G63*$H63*$M63*$AT$11)</f>
        <v>0</v>
      </c>
      <c r="AU63" s="123"/>
      <c r="AV63" s="126">
        <f>(AU63/12*2*$E63*$G63*$H63*$M63*$AV$11)+(AU63/12*10*$F63*$G63*$H63*$M63*$AV$12)</f>
        <v>0</v>
      </c>
      <c r="AW63" s="123">
        <v>5</v>
      </c>
      <c r="AX63" s="123">
        <f>(AW63/12*2*$E63*$G63*$H63*$M63*$AX$11)+(AW63/12*10*$F63*$G63*$H63*$M63*$AX$12)</f>
        <v>227706.38449999999</v>
      </c>
      <c r="AY63" s="123">
        <v>20</v>
      </c>
      <c r="AZ63" s="123">
        <f>(AY63/12*2*$E63*$G63*$H63*$N63*$AZ$11)+(AY63/12*10*$F63*$G63*$H63*$N63*$AZ$11)</f>
        <v>1045833.2808000001</v>
      </c>
      <c r="BA63" s="123"/>
      <c r="BB63" s="123">
        <f>(BA63/12*2*$E63*$G63*$H63*$N63*$BB$11)+(BA63/12*10*$F63*$G63*$H63*$N63*$BB$12)</f>
        <v>0</v>
      </c>
      <c r="BC63" s="123"/>
      <c r="BD63" s="126">
        <f>(BC63/12*2*$E63*$G63*$H63*$N63*$BD$11)+(BC63/12*10*$F63*$G63*$H63*$N63*$BD$12)</f>
        <v>0</v>
      </c>
      <c r="BE63" s="123">
        <v>5</v>
      </c>
      <c r="BF63" s="123">
        <f>(BE63/12*10*$F63*$G63*$H63*$N63*$BF$12)</f>
        <v>199659.95</v>
      </c>
      <c r="BG63" s="123"/>
      <c r="BH63" s="123">
        <f>(BG63/12*2*$E63*$G63*$H63*$N63*$BH$11)+(BG63/12*10*$F63*$G63*$H63*$N63*$BH$11)</f>
        <v>0</v>
      </c>
      <c r="BI63" s="123">
        <v>8</v>
      </c>
      <c r="BJ63" s="126">
        <f>(BI63/12*2*$E63*$G63*$H63*$N63*$BJ$11)+(BI63/12*10*$F63*$G63*$H63*$N63*$BJ$11)</f>
        <v>456363.61343999999</v>
      </c>
      <c r="BK63" s="123">
        <v>5</v>
      </c>
      <c r="BL63" s="127">
        <f>(BK63/12*2*$E63*$G63*$H63*$N63*$BL$11)+(BK63/12*10*$F63*$G63*$H63*$N63*$BL$11)</f>
        <v>285227.25839999999</v>
      </c>
      <c r="BM63" s="123"/>
      <c r="BN63" s="123">
        <f>(BM63/12*2*$E63*$G63*$H63*$M63*$BN$11)+(BM63/12*10*$F63*$G63*$H63*$M63*$BN$11)</f>
        <v>0</v>
      </c>
      <c r="BO63" s="123"/>
      <c r="BP63" s="123">
        <f>(BO63/12*2*$E63*$G63*$H63*$M63*$BP$11)+(BO63/12*10*$F63*$G63*$H63*$M63*$BP$12)</f>
        <v>0</v>
      </c>
      <c r="BQ63" s="123"/>
      <c r="BR63" s="123">
        <f>(BQ63/12*2*$E63*$G63*$H63*$M63*$BR$11)+(BQ63/12*10*$F63*$G63*$H63*$M63*$BR$11)</f>
        <v>0</v>
      </c>
      <c r="BS63" s="123">
        <v>2</v>
      </c>
      <c r="BT63" s="123">
        <f>(BS63/12*2*$E63*$G63*$H63*$N63*$BT$11)+(BS63/12*10*$F63*$G63*$H63*$N63*$BT$11)</f>
        <v>95075.752799999987</v>
      </c>
      <c r="BU63" s="123"/>
      <c r="BV63" s="126">
        <f>(BU63/12*2*$E63*$G63*$H63*$M63*$BV$11)+(BU63/12*10*$F63*$G63*$H63*$M63*$BV$11)</f>
        <v>0</v>
      </c>
      <c r="BW63" s="123"/>
      <c r="BX63" s="123">
        <f>(BW63/12*2*$E63*$G63*$H63*$M63*$BX$11)+(BW63/12*10*$F63*$G63*$H63*$M63*$BX$11)</f>
        <v>0</v>
      </c>
      <c r="BY63" s="123">
        <v>6</v>
      </c>
      <c r="BZ63" s="123">
        <f>(BY63/12*2*$E63*$G63*$H63*$M63*$BZ$11)+(BY63/12*10*$F63*$G63*$H63*$M63*$BZ$11)</f>
        <v>237689.38199999998</v>
      </c>
      <c r="CA63" s="123"/>
      <c r="CB63" s="123">
        <f>(CA63/12*2*$E63*$G63*$H63*$M63*$CB$11)+(CA63/12*10*$F63*$G63*$H63*$M63*$CB$11)</f>
        <v>0</v>
      </c>
      <c r="CC63" s="123">
        <v>2</v>
      </c>
      <c r="CD63" s="123">
        <f>(CC63/12*2*$E63*$G63*$H63*$M63*$CD$11)+(CC63/12*10*$F63*$G63*$H63*$M63*$CD$11)</f>
        <v>79229.79399999998</v>
      </c>
      <c r="CE63" s="123">
        <v>4</v>
      </c>
      <c r="CF63" s="123">
        <f>(CE63/12*10*$F63*$G63*$H63*$N63*$CF$11)</f>
        <v>159727.96</v>
      </c>
      <c r="CG63" s="132"/>
      <c r="CH63" s="123">
        <f>(CG63/12*2*$E63*$G63*$H63*$N63*$CH$11)+(CG63/12*10*$F63*$G63*$H63*$N63*$CH$11)</f>
        <v>0</v>
      </c>
      <c r="CI63" s="123"/>
      <c r="CJ63" s="127">
        <f>(CI63*$E63*$G63*$H63*$N63*CJ$11)</f>
        <v>0</v>
      </c>
      <c r="CK63" s="123"/>
      <c r="CL63" s="123">
        <f>(CK63/12*2*$E63*$G63*$H63*$N63*$CL$11)+(CK63/12*10*$F63*$G63*$H63*$N63*$CL$12)</f>
        <v>0</v>
      </c>
      <c r="CM63" s="130"/>
      <c r="CN63" s="123">
        <f>(CM63/12*2*$E63*$G63*$H63*$N63*$CN$11)+(CM63/12*10*$F63*$G63*$H63*$N63*$CN$11)</f>
        <v>0</v>
      </c>
      <c r="CO63" s="123"/>
      <c r="CP63" s="123">
        <f>(CO63/12*2*$E63*$G63*$H63*$N63*$CP$11)+(CO63/12*10*$F63*$G63*$H63*$N63*$CP$11)</f>
        <v>0</v>
      </c>
      <c r="CQ63" s="123"/>
      <c r="CR63" s="123">
        <f>(CQ63/12*2*$E63*$G63*$H63*$O63*$CR$11)+(CQ63/12*10*$F63*$G63*$H63*$O63*$CR$11)</f>
        <v>0</v>
      </c>
      <c r="CS63" s="123"/>
      <c r="CT63" s="133">
        <f>(CS63/12*2*$E63*$G63*$H63*$P63*$CT$11)+(CS63/12*10*$F63*$G63*$H63*$P63*$CT$11)</f>
        <v>0</v>
      </c>
      <c r="CU63" s="127"/>
      <c r="CV63" s="127"/>
      <c r="CW63" s="126">
        <f t="shared" ref="CW63:CX72" si="42">SUM(Q63,S63,U63,W63,Y63,AA63,AC63,AE63,AG63,AM63,BQ63,AI63,AU63,CC63,AW63,AY63,AK63,BC63,AO63,AQ63,BE63,CE63,BG63,BI63,BK63,BS63,BM63,BO63,BU63,BW63,BY63,CA63,CG63,BA63,AS63,CI63,CK63,CM63,CO63,CQ63,CS63,CU63)</f>
        <v>724</v>
      </c>
      <c r="CX63" s="126">
        <f t="shared" si="42"/>
        <v>39406315.791220009</v>
      </c>
    </row>
    <row r="64" spans="1:102" ht="30" customHeight="1" x14ac:dyDescent="0.25">
      <c r="A64" s="91"/>
      <c r="B64" s="116">
        <v>42</v>
      </c>
      <c r="C64" s="117" t="s">
        <v>216</v>
      </c>
      <c r="D64" s="118" t="s">
        <v>217</v>
      </c>
      <c r="E64" s="95">
        <v>28004</v>
      </c>
      <c r="F64" s="96">
        <v>29405</v>
      </c>
      <c r="G64" s="119">
        <v>1.1100000000000001</v>
      </c>
      <c r="H64" s="107">
        <v>1</v>
      </c>
      <c r="I64" s="108"/>
      <c r="J64" s="108"/>
      <c r="K64" s="108"/>
      <c r="L64" s="63"/>
      <c r="M64" s="120">
        <v>1.4</v>
      </c>
      <c r="N64" s="120">
        <v>1.68</v>
      </c>
      <c r="O64" s="120">
        <v>2.23</v>
      </c>
      <c r="P64" s="121">
        <v>2.57</v>
      </c>
      <c r="Q64" s="122"/>
      <c r="R64" s="123">
        <f>(Q64/12*2*$E64*$G64*$H64*$M64*$R$11)+(Q64/12*10*$F64*$G64*$H64*$M64*$R$11)</f>
        <v>0</v>
      </c>
      <c r="S64" s="124"/>
      <c r="T64" s="125">
        <f>(S64/12*2*$E64*$G64*$H64*$M64*$R$11)+(S64/12*10*$F64*$G64*$H64*$M64*$R$11)</f>
        <v>0</v>
      </c>
      <c r="U64" s="123">
        <v>99</v>
      </c>
      <c r="V64" s="123">
        <f>(U64/12*2*$E64*$G64*$H64*$M64*$V$11)+(U64/12*10*$F64*$G64*$H64*$M64*$V$12)</f>
        <v>6019195.2628500005</v>
      </c>
      <c r="W64" s="123"/>
      <c r="X64" s="126">
        <f>(W64/12*2*$E64*$G64*$H64*$M64*$X$11)+(W64/12*10*$F64*$G64*$H64*$M64*$X$12)</f>
        <v>0</v>
      </c>
      <c r="Y64" s="123"/>
      <c r="Z64" s="123">
        <f>(Y64/12*2*$E64*$G64*$H64*$M64*$Z$11)+(Y64/12*10*$F64*$G64*$H64*$M64*$Z$12)</f>
        <v>0</v>
      </c>
      <c r="AA64" s="123"/>
      <c r="AB64" s="123">
        <f>(AA64/12*2*$E64*$G64*$H64*$M64*$AB$11)+(AA64/12*10*$F64*$G64*$H64*$M64*$AB$11)</f>
        <v>0</v>
      </c>
      <c r="AC64" s="123"/>
      <c r="AD64" s="123"/>
      <c r="AE64" s="123"/>
      <c r="AF64" s="123">
        <f>(AE64/12*2*$E64*$G64*$H64*$M64*$AF$11)+(AE64/12*10*$F64*$G64*$H64*$M64*$AF$11)</f>
        <v>0</v>
      </c>
      <c r="AG64" s="135">
        <v>0</v>
      </c>
      <c r="AH64" s="136">
        <f>(AG64/12*2*$E64*$G64*$H64*$M64*$AH$11)+(AG64/12*10*$F64*$G64*$H64*$M64*$AH$11)</f>
        <v>0</v>
      </c>
      <c r="AI64" s="123"/>
      <c r="AJ64" s="123">
        <f t="shared" si="40"/>
        <v>0</v>
      </c>
      <c r="AK64" s="123">
        <v>8</v>
      </c>
      <c r="AL64" s="123">
        <f t="shared" si="41"/>
        <v>562094.1076799999</v>
      </c>
      <c r="AM64" s="132"/>
      <c r="AN64" s="123">
        <f>(AM64/12*2*$E64*$G64*$H64*$N64*$AN$11)+(AM64/12*10*$F64*$G64*$H64*$N64*$AN$12)</f>
        <v>0</v>
      </c>
      <c r="AO64" s="130"/>
      <c r="AP64" s="127">
        <f>(AO64/12*2*$E64*$G64*$H64*$N64*$AP$11)+(AO64/12*10*$F64*$G64*$H64*$N64*$AP$11)</f>
        <v>0</v>
      </c>
      <c r="AQ64" s="127">
        <v>0</v>
      </c>
      <c r="AR64" s="127">
        <v>0</v>
      </c>
      <c r="AS64" s="123"/>
      <c r="AT64" s="123">
        <f>(AS64/12*2*$E64*$G64*$H64*$M64*$AT$11)+(AS64/12*10*$F64*$G64*$H64*$M64*$AT$11)</f>
        <v>0</v>
      </c>
      <c r="AU64" s="123"/>
      <c r="AV64" s="126">
        <f>(AU64/12*2*$E64*$G64*$H64*$M64*$AV$11)+(AU64/12*10*$F64*$G64*$H64*$M64*$AV$12)</f>
        <v>0</v>
      </c>
      <c r="AW64" s="123"/>
      <c r="AX64" s="123">
        <f>(AW64/12*2*$E64*$G64*$H64*$M64*$AX$11)+(AW64/12*10*$F64*$G64*$H64*$M64*$AX$12)</f>
        <v>0</v>
      </c>
      <c r="AY64" s="123">
        <v>2</v>
      </c>
      <c r="AZ64" s="123">
        <f>(AY64/12*2*$E64*$G64*$H64*$N64*$AZ$11)+(AY64/12*10*$F64*$G64*$H64*$N64*$AZ$11)</f>
        <v>119677.82904</v>
      </c>
      <c r="BA64" s="123"/>
      <c r="BB64" s="123">
        <f>(BA64/12*2*$E64*$G64*$H64*$N64*$BB$11)+(BA64/12*10*$F64*$G64*$H64*$N64*$BB$12)</f>
        <v>0</v>
      </c>
      <c r="BC64" s="123"/>
      <c r="BD64" s="126">
        <f>(BC64/12*2*$E64*$G64*$H64*$N64*$BD$11)+(BC64/12*10*$F64*$G64*$H64*$N64*$BD$12)</f>
        <v>0</v>
      </c>
      <c r="BE64" s="123">
        <v>2</v>
      </c>
      <c r="BF64" s="123">
        <f>(BE64/12*10*$F64*$G64*$H64*$N64*$BF$12)</f>
        <v>91390.739999999991</v>
      </c>
      <c r="BG64" s="123"/>
      <c r="BH64" s="123">
        <f>(BG64/12*2*$E64*$G64*$H64*$N64*$BH$11)+(BG64/12*10*$F64*$G64*$H64*$N64*$BH$11)</f>
        <v>0</v>
      </c>
      <c r="BI64" s="123">
        <v>2</v>
      </c>
      <c r="BJ64" s="126">
        <f>(BI64/12*2*$E64*$G64*$H64*$N64*$BJ$11)+(BI64/12*10*$F64*$G64*$H64*$N64*$BJ$11)</f>
        <v>130557.63167999999</v>
      </c>
      <c r="BK64" s="123"/>
      <c r="BL64" s="127">
        <f>(BK64/12*2*$E64*$G64*$H64*$N64*$BL$11)+(BK64/12*10*$F64*$G64*$H64*$N64*$BL$11)</f>
        <v>0</v>
      </c>
      <c r="BM64" s="123"/>
      <c r="BN64" s="123">
        <f>(BM64/12*2*$E64*$G64*$H64*$M64*$BN$11)+(BM64/12*10*$F64*$G64*$H64*$M64*$BN$11)</f>
        <v>0</v>
      </c>
      <c r="BO64" s="123"/>
      <c r="BP64" s="123">
        <f>(BO64/12*2*$E64*$G64*$H64*$M64*$BP$11)+(BO64/12*10*$F64*$G64*$H64*$M64*$BP$12)</f>
        <v>0</v>
      </c>
      <c r="BQ64" s="123"/>
      <c r="BR64" s="123">
        <f>(BQ64/12*2*$E64*$G64*$H64*$M64*$BR$11)+(BQ64/12*10*$F64*$G64*$H64*$M64*$BR$11)</f>
        <v>0</v>
      </c>
      <c r="BS64" s="123">
        <v>2</v>
      </c>
      <c r="BT64" s="123">
        <f>(BS64/12*2*$E64*$G64*$H64*$N64*$BT$11)+(BS64/12*10*$F64*$G64*$H64*$N64*$BT$11)</f>
        <v>108798.02639999999</v>
      </c>
      <c r="BU64" s="123"/>
      <c r="BV64" s="126">
        <f>(BU64/12*2*$E64*$G64*$H64*$M64*$BV$11)+(BU64/12*10*$F64*$G64*$H64*$M64*$BV$11)</f>
        <v>0</v>
      </c>
      <c r="BW64" s="123"/>
      <c r="BX64" s="123">
        <f>(BW64/12*2*$E64*$G64*$H64*$M64*$BX$11)+(BW64/12*10*$F64*$G64*$H64*$M64*$BX$11)</f>
        <v>0</v>
      </c>
      <c r="BY64" s="123"/>
      <c r="BZ64" s="123">
        <f>(BY64/12*2*$E64*$G64*$H64*$M64*$BZ$11)+(BY64/12*10*$F64*$G64*$H64*$M64*$BZ$11)</f>
        <v>0</v>
      </c>
      <c r="CA64" s="123"/>
      <c r="CB64" s="123">
        <f>(CA64/12*2*$E64*$G64*$H64*$M64*$CB$11)+(CA64/12*10*$F64*$G64*$H64*$M64*$CB$11)</f>
        <v>0</v>
      </c>
      <c r="CC64" s="123"/>
      <c r="CD64" s="123">
        <f>(CC64/12*2*$E64*$G64*$H64*$M64*$CD$11)+(CC64/12*10*$F64*$G64*$H64*$M64*$CD$11)</f>
        <v>0</v>
      </c>
      <c r="CE64" s="123"/>
      <c r="CF64" s="123">
        <f>(CE64/12*10*$F64*$G64*$H64*$N64*$CF$11)</f>
        <v>0</v>
      </c>
      <c r="CG64" s="132"/>
      <c r="CH64" s="123">
        <f>(CG64/12*2*$E64*$G64*$H64*$N64*$CH$11)+(CG64/12*10*$F64*$G64*$H64*$N64*$CH$11)</f>
        <v>0</v>
      </c>
      <c r="CI64" s="123"/>
      <c r="CJ64" s="127">
        <f>(CI64*$E64*$G64*$H64*$N64*CJ$11)</f>
        <v>0</v>
      </c>
      <c r="CK64" s="123"/>
      <c r="CL64" s="123">
        <f>(CK64/12*2*$E64*$G64*$H64*$N64*$CL$11)+(CK64/12*10*$F64*$G64*$H64*$N64*$CL$12)</f>
        <v>0</v>
      </c>
      <c r="CM64" s="130"/>
      <c r="CN64" s="123">
        <f>(CM64/12*2*$E64*$G64*$H64*$N64*$CN$11)+(CM64/12*10*$F64*$G64*$H64*$N64*$CN$11)</f>
        <v>0</v>
      </c>
      <c r="CO64" s="123"/>
      <c r="CP64" s="123">
        <f>(CO64/12*2*$E64*$G64*$H64*$N64*$CP$11)+(CO64/12*10*$F64*$G64*$H64*$N64*$CP$11)</f>
        <v>0</v>
      </c>
      <c r="CQ64" s="123"/>
      <c r="CR64" s="123">
        <f>(CQ64/12*2*$E64*$G64*$H64*$O64*$CR$11)+(CQ64/12*10*$F64*$G64*$H64*$O64*$CR$11)</f>
        <v>0</v>
      </c>
      <c r="CS64" s="123"/>
      <c r="CT64" s="133">
        <f>(CS64/12*2*$E64*$G64*$H64*$P64*$CT$11)+(CS64/12*10*$F64*$G64*$H64*$P64*$CT$11)</f>
        <v>0</v>
      </c>
      <c r="CU64" s="127"/>
      <c r="CV64" s="127"/>
      <c r="CW64" s="126">
        <f t="shared" si="42"/>
        <v>115</v>
      </c>
      <c r="CX64" s="126">
        <f t="shared" si="42"/>
        <v>7031713.5976499999</v>
      </c>
    </row>
    <row r="65" spans="1:102" ht="30" customHeight="1" x14ac:dyDescent="0.25">
      <c r="A65" s="183"/>
      <c r="B65" s="116">
        <v>43</v>
      </c>
      <c r="C65" s="117" t="s">
        <v>218</v>
      </c>
      <c r="D65" s="118" t="s">
        <v>219</v>
      </c>
      <c r="E65" s="95">
        <v>28004</v>
      </c>
      <c r="F65" s="96">
        <v>29405</v>
      </c>
      <c r="G65" s="119">
        <v>1.97</v>
      </c>
      <c r="H65" s="110">
        <v>1.1000000000000001</v>
      </c>
      <c r="I65" s="110">
        <v>1</v>
      </c>
      <c r="J65" s="108"/>
      <c r="K65" s="108"/>
      <c r="L65" s="63"/>
      <c r="M65" s="120">
        <v>1.4</v>
      </c>
      <c r="N65" s="120">
        <v>1.68</v>
      </c>
      <c r="O65" s="120">
        <v>2.23</v>
      </c>
      <c r="P65" s="121">
        <v>2.57</v>
      </c>
      <c r="Q65" s="122"/>
      <c r="R65" s="123">
        <f>(Q65/12*2*$E65*$G65*$H65*$M65)+(Q65/12*10*$F65*$G65*$I65*$M65)</f>
        <v>0</v>
      </c>
      <c r="S65" s="124"/>
      <c r="T65" s="125">
        <f>(S65/12*2*$E65*$G65*$H65*$M65)+(S65/12*10*$F65*$G65*$I65*$M65)</f>
        <v>0</v>
      </c>
      <c r="U65" s="123">
        <v>1</v>
      </c>
      <c r="V65" s="123">
        <f>(U65/12*2*$E65*$G65*$H65*$M65)+(U65/12*10*$F65*$G65*$I65*$M65)</f>
        <v>81742.247533333313</v>
      </c>
      <c r="W65" s="123"/>
      <c r="X65" s="123">
        <f>(W65/12*2*$E65*$G65*$H65*$M65)+(W65/12*10*$F65*$G65*$I65*$M65)</f>
        <v>0</v>
      </c>
      <c r="Y65" s="123"/>
      <c r="Z65" s="123">
        <f>(Y65/12*2*$E65*$G65*$H65*$M65)+(Y65/12*10*$F65*$G65*$I65*$M65)</f>
        <v>0</v>
      </c>
      <c r="AA65" s="123"/>
      <c r="AB65" s="123">
        <f>(AA65*$E65*$G65*$H65*$M65)/12*2+(AA65*$F65*$G65*$I65*$M65)/12*10</f>
        <v>0</v>
      </c>
      <c r="AC65" s="123"/>
      <c r="AD65" s="123"/>
      <c r="AE65" s="123"/>
      <c r="AF65" s="123">
        <f>(AE65/12*2*$E65*$G65*$H65*$M65)+(AE65/12*10*$F65*$G65*$I65*$M65)</f>
        <v>0</v>
      </c>
      <c r="AG65" s="123">
        <v>0</v>
      </c>
      <c r="AH65" s="123">
        <f>(AG65/12*2*$E65*$G65*$H65*$M65)+(AG65/12*10*$F65*$G65*$I65*$M65)</f>
        <v>0</v>
      </c>
      <c r="AI65" s="123"/>
      <c r="AJ65" s="123">
        <f>(AI65/12*2*$E65*$G65*$H65*$M65)+(AI65/12*10*$F65*$G65*$I65*$M65)</f>
        <v>0</v>
      </c>
      <c r="AK65" s="123"/>
      <c r="AL65" s="126">
        <f>(AK65/12*2*$E65*$G65*$H65*$N65)+(AK65/12*10*$F65*$G65*$I65*$N65)</f>
        <v>0</v>
      </c>
      <c r="AM65" s="132"/>
      <c r="AN65" s="123">
        <f>(AM65/12*2*$E65*$G65*$H65*$N65)+(AM65/12*10*$F65*$G65*$I65*$N65)</f>
        <v>0</v>
      </c>
      <c r="AO65" s="130"/>
      <c r="AP65" s="123">
        <f>(AO65/12*2*$E65*$G65*$H65*$N65)+(AO65/12*10*$F65*$G65*$I65*$N65)</f>
        <v>0</v>
      </c>
      <c r="AQ65" s="123">
        <v>0</v>
      </c>
      <c r="AR65" s="123">
        <v>0</v>
      </c>
      <c r="AS65" s="123"/>
      <c r="AT65" s="123">
        <f>(AS65*$E65*$G65*$H65*$M65)/12*3+(AS65*$F65*$G65*$I65*$M65)/12*9</f>
        <v>0</v>
      </c>
      <c r="AU65" s="123"/>
      <c r="AV65" s="123"/>
      <c r="AW65" s="123"/>
      <c r="AX65" s="123">
        <f>(AW65/12*2*$E65*$G65*$H65*$M65)+(AW65/12*10*$F65*$G65*$I65*$M65)</f>
        <v>0</v>
      </c>
      <c r="AY65" s="123">
        <v>0</v>
      </c>
      <c r="AZ65" s="123">
        <f>(AY65/12*2*$E65*$G65*$H65*$N65)+(AY65/12*10*$F65*$G65*$I65*$N65)</f>
        <v>0</v>
      </c>
      <c r="BA65" s="123"/>
      <c r="BB65" s="123">
        <f>(BA65/12*2*$E65*$G65*$H65*$N65)+(BA65/12*10*$F65*$G65*$I65*$N65)</f>
        <v>0</v>
      </c>
      <c r="BC65" s="123"/>
      <c r="BD65" s="123">
        <f>(BC65/12*2*$E65*$G65*$H65*$N65)+(BC65/12*10*$F65*$G65*$I65*$N65)</f>
        <v>0</v>
      </c>
      <c r="BE65" s="123"/>
      <c r="BF65" s="123">
        <f>(BE65/12*10*$F65*$G65*$I65*$N65)</f>
        <v>0</v>
      </c>
      <c r="BG65" s="123"/>
      <c r="BH65" s="123">
        <f>(BG65/12*2*$E65*$G65*$H65*$N65)+(BG65/12*10*$F65*$G65*$I65*$N65)</f>
        <v>0</v>
      </c>
      <c r="BI65" s="123"/>
      <c r="BJ65" s="123">
        <f>(BI65/12*2*$E65*$G65*$H65*$N65)+(BI65/12*10*$F65*$G65*$I65*$N65)</f>
        <v>0</v>
      </c>
      <c r="BK65" s="123"/>
      <c r="BL65" s="123">
        <f>(BK65/12*2*$E65*$G65*$H65*$N65)+(BK65/12*10*$F65*$G65*$I65*$N65)</f>
        <v>0</v>
      </c>
      <c r="BM65" s="123"/>
      <c r="BN65" s="123"/>
      <c r="BO65" s="123"/>
      <c r="BP65" s="123">
        <f>(BO65/12*2*$E65*$G65*$H65*$M65)+(BO65/12*10*$F65*$G65*$I65*$M65)</f>
        <v>0</v>
      </c>
      <c r="BQ65" s="123"/>
      <c r="BR65" s="123">
        <f>(BQ65/12*2*$E65*$G65*$H65*$M65)+(BQ65/12*10*$F65*$G65*$I65*$M65)</f>
        <v>0</v>
      </c>
      <c r="BS65" s="123"/>
      <c r="BT65" s="123">
        <f>(BS65/12*2*$E65*$G65*$H65*$N65)+(BS65/12*10*$F65*$G65*$I65*$N65)</f>
        <v>0</v>
      </c>
      <c r="BU65" s="123"/>
      <c r="BV65" s="123">
        <f>(BU65/12*2*$E65*$G65*$H65*$M65)+(BU65/12*10*$F65*$G65*$I65*$M65)</f>
        <v>0</v>
      </c>
      <c r="BW65" s="123"/>
      <c r="BX65" s="123">
        <f>(BW65/12*2*$E65*$G65*$H65*$M65)+(BW65/12*10*$F65*$G65*$I65*$M65)</f>
        <v>0</v>
      </c>
      <c r="BY65" s="123"/>
      <c r="BZ65" s="123">
        <f>(BY65/12*2*$E65*$G65*$H65*$M65)+(BY65/12*10*$F65*$G65*$I65*$M65)</f>
        <v>0</v>
      </c>
      <c r="CA65" s="123"/>
      <c r="CB65" s="123">
        <f>(CA65/12*2*$E65*$G65*$H65*$M65)+(CA65/12*10*$F65*$G65*$I65*$M65)</f>
        <v>0</v>
      </c>
      <c r="CC65" s="123"/>
      <c r="CD65" s="123">
        <f>(CC65/12*2*$E65*$G65*$H65*$M65)+(CC65/12*10*$F65*$G65*$I65*$M65)</f>
        <v>0</v>
      </c>
      <c r="CE65" s="123"/>
      <c r="CF65" s="123">
        <f>(CE65/12*10*$F65*$G65*$I65*$N65)</f>
        <v>0</v>
      </c>
      <c r="CG65" s="132"/>
      <c r="CH65" s="123">
        <f>(CG65/12*2*$E65*$G65*$H65*$N65)+(CG65/12*10*$F65*$G65*$I65*$N65)</f>
        <v>0</v>
      </c>
      <c r="CI65" s="123"/>
      <c r="CJ65" s="127">
        <f>(CI65*$E65*$G65*$H65*$N65)</f>
        <v>0</v>
      </c>
      <c r="CK65" s="123"/>
      <c r="CL65" s="123">
        <f>(CK65/12*2*$E65*$G65*$H65*$N65)+(CK65/12*10*$F65*$G65*$I65*$N65)</f>
        <v>0</v>
      </c>
      <c r="CM65" s="130"/>
      <c r="CN65" s="123">
        <f>(CM65/12*2*$E65*$G65*$H65*$N65)+(CM65/12*10*$F65*$G65*$I65*$N65)</f>
        <v>0</v>
      </c>
      <c r="CO65" s="123"/>
      <c r="CP65" s="123">
        <f>(CO65/12*2*$E65*$G65*$H65*$N65)+(CO65/12*10*$F65*$G65*$I65*$N65)</f>
        <v>0</v>
      </c>
      <c r="CQ65" s="123"/>
      <c r="CR65" s="123">
        <f>(CQ65/12*2*$E65*$G65*$H65*$O65)+(CQ65/12*10*$F65*$G65*$I65*$O65)</f>
        <v>0</v>
      </c>
      <c r="CS65" s="123"/>
      <c r="CT65" s="127">
        <f>(CS65/12*2*$E65*$G65*$H65*$P65)+(CS65/12*10*$F65*$G65*$I65*$P65)</f>
        <v>0</v>
      </c>
      <c r="CU65" s="127"/>
      <c r="CV65" s="127"/>
      <c r="CW65" s="126">
        <f t="shared" si="42"/>
        <v>1</v>
      </c>
      <c r="CX65" s="126">
        <f t="shared" si="42"/>
        <v>81742.247533333313</v>
      </c>
    </row>
    <row r="66" spans="1:102" ht="30" customHeight="1" x14ac:dyDescent="0.25">
      <c r="A66" s="91"/>
      <c r="B66" s="116">
        <v>44</v>
      </c>
      <c r="C66" s="117" t="s">
        <v>220</v>
      </c>
      <c r="D66" s="118" t="s">
        <v>221</v>
      </c>
      <c r="E66" s="95">
        <v>28004</v>
      </c>
      <c r="F66" s="96">
        <v>29405</v>
      </c>
      <c r="G66" s="119">
        <v>2.78</v>
      </c>
      <c r="H66" s="110">
        <v>1.1000000000000001</v>
      </c>
      <c r="I66" s="110">
        <v>1</v>
      </c>
      <c r="J66" s="108"/>
      <c r="K66" s="108"/>
      <c r="L66" s="63"/>
      <c r="M66" s="120">
        <v>1.4</v>
      </c>
      <c r="N66" s="120">
        <v>1.68</v>
      </c>
      <c r="O66" s="120">
        <v>2.23</v>
      </c>
      <c r="P66" s="121">
        <v>2.57</v>
      </c>
      <c r="Q66" s="122"/>
      <c r="R66" s="123">
        <f>(Q66/12*2*$E66*$G66*$H66*$M66)+(Q66/12*10*$F66*$G66*$I66*$M66)</f>
        <v>0</v>
      </c>
      <c r="S66" s="124"/>
      <c r="T66" s="125">
        <f>(S66/12*2*$E66*$G66*$H66*$M66)+(S66/12*10*$F66*$G66*$I66*$M66)</f>
        <v>0</v>
      </c>
      <c r="U66" s="123">
        <v>10</v>
      </c>
      <c r="V66" s="123">
        <f>(U66/12*2*$E66*$G66*$H66*$M66)+(U66/12*10*$F66*$G66*$I66*$M66)</f>
        <v>1153520.0413333334</v>
      </c>
      <c r="W66" s="123"/>
      <c r="X66" s="123">
        <f>(W66/12*2*$E66*$G66*$H66*$M66)+(W66/12*10*$F66*$G66*$I66*$M66)</f>
        <v>0</v>
      </c>
      <c r="Y66" s="123"/>
      <c r="Z66" s="123">
        <f>(Y66/12*2*$E66*$G66*$H66*$M66)+(Y66/12*10*$F66*$G66*$I66*$M66)</f>
        <v>0</v>
      </c>
      <c r="AA66" s="123"/>
      <c r="AB66" s="123">
        <f>(AA66*$E66*$G66*$H66*$M66)/12*2+(AA66*$F66*$G66*$I66*$M66)/12*10</f>
        <v>0</v>
      </c>
      <c r="AC66" s="123"/>
      <c r="AD66" s="123"/>
      <c r="AE66" s="123"/>
      <c r="AF66" s="123">
        <f>(AE66/12*2*$E66*$G66*$H66*$M66)+(AE66/12*10*$F66*$G66*$I66*$M66)</f>
        <v>0</v>
      </c>
      <c r="AG66" s="123">
        <v>0</v>
      </c>
      <c r="AH66" s="123">
        <f>(AG66/12*2*$E66*$G66*$H66*$M66)+(AG66/12*10*$F66*$G66*$I66*$M66)</f>
        <v>0</v>
      </c>
      <c r="AI66" s="123"/>
      <c r="AJ66" s="123">
        <f>(AI66/12*2*$E66*$G66*$H66*$M66)+(AI66/12*10*$F66*$G66*$I66*$M66)</f>
        <v>0</v>
      </c>
      <c r="AK66" s="123"/>
      <c r="AL66" s="126">
        <f>(AK66/12*2*$E66*$G66*$H66*$N66)+(AK66/12*10*$F66*$G66*$I66*$N66)</f>
        <v>0</v>
      </c>
      <c r="AM66" s="132"/>
      <c r="AN66" s="123">
        <f>(AM66/12*2*$E66*$G66*$H66*$N66)+(AM66/12*10*$F66*$G66*$I66*$N66)</f>
        <v>0</v>
      </c>
      <c r="AO66" s="130"/>
      <c r="AP66" s="123">
        <f>(AO66/12*2*$E66*$G66*$H66*$N66)+(AO66/12*10*$F66*$G66*$I66*$N66)</f>
        <v>0</v>
      </c>
      <c r="AQ66" s="123">
        <v>0</v>
      </c>
      <c r="AR66" s="123">
        <v>0</v>
      </c>
      <c r="AS66" s="123"/>
      <c r="AT66" s="123">
        <f>(AS66*$E66*$G66*$H66*$M66)/12*3+(AS66*$F66*$G66*$I66*$M66)/12*9</f>
        <v>0</v>
      </c>
      <c r="AU66" s="123"/>
      <c r="AV66" s="123"/>
      <c r="AW66" s="123"/>
      <c r="AX66" s="123">
        <f>(AW66/12*2*$E66*$G66*$H66*$M66)+(AW66/12*10*$F66*$G66*$I66*$M66)</f>
        <v>0</v>
      </c>
      <c r="AY66" s="123">
        <v>0</v>
      </c>
      <c r="AZ66" s="123">
        <f>(AY66/12*2*$E66*$G66*$H66*$N66)+(AY66/12*10*$F66*$G66*$I66*$N66)</f>
        <v>0</v>
      </c>
      <c r="BA66" s="123"/>
      <c r="BB66" s="123">
        <f>(BA66/12*2*$E66*$G66*$H66*$N66)+(BA66/12*10*$F66*$G66*$I66*$N66)</f>
        <v>0</v>
      </c>
      <c r="BC66" s="123"/>
      <c r="BD66" s="123">
        <f>(BC66/12*2*$E66*$G66*$H66*$N66)+(BC66/12*10*$F66*$G66*$I66*$N66)</f>
        <v>0</v>
      </c>
      <c r="BE66" s="123"/>
      <c r="BF66" s="123">
        <f>(BE66/12*10*$F66*$G66*$I66*$N66)</f>
        <v>0</v>
      </c>
      <c r="BG66" s="123"/>
      <c r="BH66" s="123">
        <f>(BG66/12*2*$E66*$G66*$H66*$N66)+(BG66/12*10*$F66*$G66*$I66*$N66)</f>
        <v>0</v>
      </c>
      <c r="BI66" s="123"/>
      <c r="BJ66" s="123">
        <f>(BI66/12*2*$E66*$G66*$H66*$N66)+(BI66/12*10*$F66*$G66*$I66*$N66)</f>
        <v>0</v>
      </c>
      <c r="BK66" s="123"/>
      <c r="BL66" s="123">
        <f>(BK66/12*2*$E66*$G66*$H66*$N66)+(BK66/12*10*$F66*$G66*$I66*$N66)</f>
        <v>0</v>
      </c>
      <c r="BM66" s="123"/>
      <c r="BN66" s="123"/>
      <c r="BO66" s="123"/>
      <c r="BP66" s="123">
        <f>(BO66/12*2*$E66*$G66*$H66*$M66)+(BO66/12*10*$F66*$G66*$I66*$M66)</f>
        <v>0</v>
      </c>
      <c r="BQ66" s="123"/>
      <c r="BR66" s="123">
        <f>(BQ66/12*2*$E66*$G66*$H66*$M66)+(BQ66/12*10*$F66*$G66*$I66*$M66)</f>
        <v>0</v>
      </c>
      <c r="BS66" s="123"/>
      <c r="BT66" s="123">
        <f>(BS66/12*2*$E66*$G66*$H66*$N66)+(BS66/12*10*$F66*$G66*$I66*$N66)</f>
        <v>0</v>
      </c>
      <c r="BU66" s="123"/>
      <c r="BV66" s="123">
        <f>(BU66/12*2*$E66*$G66*$H66*$M66)+(BU66/12*10*$F66*$G66*$I66*$M66)</f>
        <v>0</v>
      </c>
      <c r="BW66" s="123"/>
      <c r="BX66" s="123">
        <f>(BW66/12*2*$E66*$G66*$H66*$M66)+(BW66/12*10*$F66*$G66*$I66*$M66)</f>
        <v>0</v>
      </c>
      <c r="BY66" s="123"/>
      <c r="BZ66" s="123">
        <f>(BY66/12*2*$E66*$G66*$H66*$M66)+(BY66/12*10*$F66*$G66*$I66*$M66)</f>
        <v>0</v>
      </c>
      <c r="CA66" s="123"/>
      <c r="CB66" s="123">
        <f>(CA66/12*2*$E66*$G66*$H66*$M66)+(CA66/12*10*$F66*$G66*$I66*$M66)</f>
        <v>0</v>
      </c>
      <c r="CC66" s="123"/>
      <c r="CD66" s="123">
        <f>(CC66/12*2*$E66*$G66*$H66*$M66)+(CC66/12*10*$F66*$G66*$I66*$M66)</f>
        <v>0</v>
      </c>
      <c r="CE66" s="123"/>
      <c r="CF66" s="123">
        <f>(CE66/12*10*$F66*$G66*$I66*$N66)</f>
        <v>0</v>
      </c>
      <c r="CG66" s="132"/>
      <c r="CH66" s="123">
        <f>(CG66/12*2*$E66*$G66*$H66*$N66)+(CG66/12*10*$F66*$G66*$I66*$N66)</f>
        <v>0</v>
      </c>
      <c r="CI66" s="123"/>
      <c r="CJ66" s="127">
        <f>(CI66*$E66*$G66*$H66*$N66)</f>
        <v>0</v>
      </c>
      <c r="CK66" s="123"/>
      <c r="CL66" s="123">
        <f>(CK66/12*2*$E66*$G66*$H66*$N66)+(CK66/12*10*$F66*$G66*$I66*$N66)</f>
        <v>0</v>
      </c>
      <c r="CM66" s="130"/>
      <c r="CN66" s="123">
        <f>(CM66/12*2*$E66*$G66*$H66*$N66)+(CM66/12*10*$F66*$G66*$I66*$N66)</f>
        <v>0</v>
      </c>
      <c r="CO66" s="123"/>
      <c r="CP66" s="123">
        <f>(CO66/12*2*$E66*$G66*$H66*$N66)+(CO66/12*10*$F66*$G66*$I66*$N66)</f>
        <v>0</v>
      </c>
      <c r="CQ66" s="123"/>
      <c r="CR66" s="123">
        <f>(CQ66/12*2*$E66*$G66*$H66*$O66)+(CQ66/12*10*$F66*$G66*$I66*$O66)</f>
        <v>0</v>
      </c>
      <c r="CS66" s="123"/>
      <c r="CT66" s="127">
        <f>(CS66/12*2*$E66*$G66*$H66*$P66)+(CS66/12*10*$F66*$G66*$I66*$P66)</f>
        <v>0</v>
      </c>
      <c r="CU66" s="127"/>
      <c r="CV66" s="127"/>
      <c r="CW66" s="126">
        <f t="shared" si="42"/>
        <v>10</v>
      </c>
      <c r="CX66" s="126">
        <f t="shared" si="42"/>
        <v>1153520.0413333334</v>
      </c>
    </row>
    <row r="67" spans="1:102" ht="30" customHeight="1" x14ac:dyDescent="0.25">
      <c r="A67" s="91"/>
      <c r="B67" s="116">
        <v>45</v>
      </c>
      <c r="C67" s="117" t="s">
        <v>222</v>
      </c>
      <c r="D67" s="161" t="s">
        <v>223</v>
      </c>
      <c r="E67" s="95">
        <v>28004</v>
      </c>
      <c r="F67" s="96">
        <v>29405</v>
      </c>
      <c r="G67" s="119">
        <v>1.1499999999999999</v>
      </c>
      <c r="H67" s="107">
        <v>1</v>
      </c>
      <c r="I67" s="108"/>
      <c r="J67" s="108"/>
      <c r="K67" s="108"/>
      <c r="L67" s="63"/>
      <c r="M67" s="120">
        <v>1.4</v>
      </c>
      <c r="N67" s="120">
        <v>1.68</v>
      </c>
      <c r="O67" s="120">
        <v>2.23</v>
      </c>
      <c r="P67" s="121">
        <v>2.57</v>
      </c>
      <c r="Q67" s="122"/>
      <c r="R67" s="123">
        <f>(Q67/12*2*$E67*$G67*$H67*$M67*$R$11)+(Q67/12*10*$F67*$G67*$H67*$M67*$R$11)</f>
        <v>0</v>
      </c>
      <c r="S67" s="124"/>
      <c r="T67" s="125">
        <f>(S67/12*2*$E67*$G67*$H67*$M67*$R$11)+(S67/12*10*$F67*$G67*$H67*$M67*$R$11)</f>
        <v>0</v>
      </c>
      <c r="U67" s="123">
        <v>20</v>
      </c>
      <c r="V67" s="123">
        <f>(U67/12*2*$E67*$G67*$H67*$M67*$V$11)+(U67/12*10*$F67*$G67*$H67*$M67*$V$12)</f>
        <v>1259818.8283333331</v>
      </c>
      <c r="W67" s="123">
        <v>25</v>
      </c>
      <c r="X67" s="126">
        <f>(W67/12*2*$E67*$G67*$H67*$M67*$X$11)+(W67/12*10*$F67*$G67*$H67*$M67*$X$12)</f>
        <v>1574773.5354166669</v>
      </c>
      <c r="Y67" s="123"/>
      <c r="Z67" s="123">
        <f>(Y67/12*2*$E67*$G67*$H67*$M67*$Z$11)+(Y67/12*10*$F67*$G67*$H67*$M67*$Z$12)</f>
        <v>0</v>
      </c>
      <c r="AA67" s="123"/>
      <c r="AB67" s="123">
        <f>(AA67/12*2*$E67*$G67*$H67*$M67*$AB$11)+(AA67/12*10*$F67*$G67*$H67*$M67*$AB$11)</f>
        <v>0</v>
      </c>
      <c r="AC67" s="123"/>
      <c r="AD67" s="123"/>
      <c r="AE67" s="123"/>
      <c r="AF67" s="123">
        <f>(AE67/12*2*$E67*$G67*$H67*$M67*$AF$11)+(AE67/12*10*$F67*$G67*$H67*$M67*$AF$11)</f>
        <v>0</v>
      </c>
      <c r="AG67" s="123">
        <v>0</v>
      </c>
      <c r="AH67" s="126">
        <f>(AG67/12*2*$E67*$G67*$H67*$M67*$AH$11)+(AG67/12*10*$F67*$G67*$H67*$M67*$AH$11)</f>
        <v>0</v>
      </c>
      <c r="AI67" s="123"/>
      <c r="AJ67" s="123">
        <f t="shared" ref="AJ67:AJ69" si="43">(AI67/12*2*$E67*$G67*$H67*$M67*$AJ$11)+(AI67/12*5*$F67*$G67*$H67*$M67*$AJ$12)+(AI67/12*5*$F67*$G67*$H67*$M67*$AJ$13)</f>
        <v>0</v>
      </c>
      <c r="AK67" s="123"/>
      <c r="AL67" s="123">
        <f t="shared" ref="AL67:AL69" si="44">(AK67/12*2*$E67*$G67*$H67*$N67*$AL$11)+(AK67/12*5*$F67*$G67*$H67*$N67*$AL$12)++(AK67/12*5*$F67*$G67*$H67*$N67*$AL$13)</f>
        <v>0</v>
      </c>
      <c r="AM67" s="132"/>
      <c r="AN67" s="123">
        <f>(AM67/12*2*$E67*$G67*$H67*$N67*$AN$11)+(AM67/12*10*$F67*$G67*$H67*$N67*$AN$12)</f>
        <v>0</v>
      </c>
      <c r="AO67" s="130"/>
      <c r="AP67" s="127">
        <f>(AO67/12*2*$E67*$G67*$H67*$N67*$AP$11)+(AO67/12*10*$F67*$G67*$H67*$N67*$AP$11)</f>
        <v>0</v>
      </c>
      <c r="AQ67" s="127">
        <v>0</v>
      </c>
      <c r="AR67" s="127">
        <v>0</v>
      </c>
      <c r="AS67" s="123"/>
      <c r="AT67" s="123">
        <f>(AS67/12*2*$E67*$G67*$H67*$M67*$AT$11)+(AS67/12*10*$F67*$G67*$H67*$M67*$AT$11)</f>
        <v>0</v>
      </c>
      <c r="AU67" s="123"/>
      <c r="AV67" s="126">
        <f>(AU67/12*2*$E67*$G67*$H67*$M67*$AV$11)+(AU67/12*10*$F67*$G67*$H67*$M67*$AV$12)</f>
        <v>0</v>
      </c>
      <c r="AW67" s="123"/>
      <c r="AX67" s="123">
        <f>(AW67/12*2*$E67*$G67*$H67*$M67*$AX$11)+(AW67/12*10*$F67*$G67*$H67*$M67*$AX$12)</f>
        <v>0</v>
      </c>
      <c r="AY67" s="123">
        <v>1</v>
      </c>
      <c r="AZ67" s="123">
        <f>(AY67/12*2*$E67*$G67*$H67*$N67*$AZ$11)+(AY67/12*10*$F67*$G67*$H67*$N67*$AZ$11)</f>
        <v>61995.271799999988</v>
      </c>
      <c r="BA67" s="123"/>
      <c r="BB67" s="123">
        <f>(BA67/12*2*$E67*$G67*$H67*$N67*$BB$11)+(BA67/12*10*$F67*$G67*$H67*$N67*$BB$12)</f>
        <v>0</v>
      </c>
      <c r="BC67" s="123"/>
      <c r="BD67" s="126">
        <f>(BC67/12*2*$E67*$G67*$H67*$N67*$BD$11)+(BC67/12*10*$F67*$G67*$H67*$N67*$BD$12)</f>
        <v>0</v>
      </c>
      <c r="BE67" s="123"/>
      <c r="BF67" s="123">
        <f>(BE67/12*10*$F67*$G67*$H67*$N67*$BF$12)</f>
        <v>0</v>
      </c>
      <c r="BG67" s="123"/>
      <c r="BH67" s="123">
        <f>(BG67/12*2*$E67*$G67*$H67*$N67*$BH$11)+(BG67/12*10*$F67*$G67*$H67*$N67*$BH$11)</f>
        <v>0</v>
      </c>
      <c r="BI67" s="123"/>
      <c r="BJ67" s="126">
        <f>(BI67/12*2*$E67*$G67*$H67*$N67*$BJ$11)+(BI67/12*10*$F67*$G67*$H67*$N67*$BJ$11)</f>
        <v>0</v>
      </c>
      <c r="BK67" s="123"/>
      <c r="BL67" s="127">
        <f>(BK67/12*2*$E67*$G67*$H67*$N67*$BL$11)+(BK67/12*10*$F67*$G67*$H67*$N67*$BL$11)</f>
        <v>0</v>
      </c>
      <c r="BM67" s="123"/>
      <c r="BN67" s="123">
        <f>(BM67/12*2*$E67*$G67*$H67*$M67*$BN$11)+(BM67/12*10*$F67*$G67*$H67*$M67*$BN$11)</f>
        <v>0</v>
      </c>
      <c r="BO67" s="123"/>
      <c r="BP67" s="123">
        <f>(BO67/12*2*$E67*$G67*$H67*$M67*$BP$11)+(BO67/12*10*$F67*$G67*$H67*$M67*$BP$12)</f>
        <v>0</v>
      </c>
      <c r="BQ67" s="123"/>
      <c r="BR67" s="123">
        <f>(BQ67/12*2*$E67*$G67*$H67*$M67*$BR$11)+(BQ67/12*10*$F67*$G67*$H67*$M67*$BR$11)</f>
        <v>0</v>
      </c>
      <c r="BS67" s="123"/>
      <c r="BT67" s="123">
        <f>(BS67/12*2*$E67*$G67*$H67*$N67*$BT$11)+(BS67/12*10*$F67*$G67*$H67*$N67*$BT$11)</f>
        <v>0</v>
      </c>
      <c r="BU67" s="123"/>
      <c r="BV67" s="126">
        <f>(BU67/12*2*$E67*$G67*$H67*$M67*$BV$11)+(BU67/12*10*$F67*$G67*$H67*$M67*$BV$11)</f>
        <v>0</v>
      </c>
      <c r="BW67" s="123"/>
      <c r="BX67" s="123">
        <f>(BW67/12*2*$E67*$G67*$H67*$M67*$BX$11)+(BW67/12*10*$F67*$G67*$H67*$M67*$BX$11)</f>
        <v>0</v>
      </c>
      <c r="BY67" s="123"/>
      <c r="BZ67" s="123">
        <f>(BY67/12*2*$E67*$G67*$H67*$M67*$BZ$11)+(BY67/12*10*$F67*$G67*$H67*$M67*$BZ$11)</f>
        <v>0</v>
      </c>
      <c r="CA67" s="123"/>
      <c r="CB67" s="123">
        <f>(CA67/12*2*$E67*$G67*$H67*$M67*$CB$11)+(CA67/12*10*$F67*$G67*$H67*$M67*$CB$11)</f>
        <v>0</v>
      </c>
      <c r="CC67" s="123"/>
      <c r="CD67" s="123">
        <f>(CC67/12*2*$E67*$G67*$H67*$M67*$CD$11)+(CC67/12*10*$F67*$G67*$H67*$M67*$CD$11)</f>
        <v>0</v>
      </c>
      <c r="CE67" s="123"/>
      <c r="CF67" s="123">
        <f>(CE67/12*10*$F67*$G67*$H67*$N67*$CF$11)</f>
        <v>0</v>
      </c>
      <c r="CG67" s="132"/>
      <c r="CH67" s="123">
        <f>(CG67/12*2*$E67*$G67*$H67*$N67*$CH$11)+(CG67/12*10*$F67*$G67*$H67*$N67*$CH$11)</f>
        <v>0</v>
      </c>
      <c r="CI67" s="123"/>
      <c r="CJ67" s="127">
        <f>(CI67*$E67*$G67*$H67*$N67*CJ$11)</f>
        <v>0</v>
      </c>
      <c r="CK67" s="123"/>
      <c r="CL67" s="123">
        <f>(CK67/12*2*$E67*$G67*$H67*$N67*$CL$11)+(CK67/12*10*$F67*$G67*$H67*$N67*$CL$12)</f>
        <v>0</v>
      </c>
      <c r="CM67" s="130"/>
      <c r="CN67" s="123">
        <f>(CM67/12*2*$E67*$G67*$H67*$N67*$CN$11)+(CM67/12*10*$F67*$G67*$H67*$N67*$CN$11)</f>
        <v>0</v>
      </c>
      <c r="CO67" s="123"/>
      <c r="CP67" s="123">
        <f>(CO67/12*2*$E67*$G67*$H67*$N67*$CP$11)+(CO67/12*10*$F67*$G67*$H67*$N67*$CP$11)</f>
        <v>0</v>
      </c>
      <c r="CQ67" s="123"/>
      <c r="CR67" s="123">
        <f>(CQ67/12*2*$E67*$G67*$H67*$O67*$CR$11)+(CQ67/12*10*$F67*$G67*$H67*$O67*$CR$11)</f>
        <v>0</v>
      </c>
      <c r="CS67" s="123"/>
      <c r="CT67" s="133">
        <f>(CS67/12*2*$E67*$G67*$H67*$P67*$CT$11)+(CS67/12*10*$F67*$G67*$H67*$P67*$CT$11)</f>
        <v>0</v>
      </c>
      <c r="CU67" s="127"/>
      <c r="CV67" s="127"/>
      <c r="CW67" s="126">
        <f t="shared" si="42"/>
        <v>46</v>
      </c>
      <c r="CX67" s="126">
        <f t="shared" si="42"/>
        <v>2896587.6355499998</v>
      </c>
    </row>
    <row r="68" spans="1:102" ht="30" customHeight="1" x14ac:dyDescent="0.25">
      <c r="A68" s="91"/>
      <c r="B68" s="116">
        <v>46</v>
      </c>
      <c r="C68" s="117" t="s">
        <v>224</v>
      </c>
      <c r="D68" s="161" t="s">
        <v>225</v>
      </c>
      <c r="E68" s="95">
        <v>28004</v>
      </c>
      <c r="F68" s="96">
        <v>29405</v>
      </c>
      <c r="G68" s="119">
        <v>1.22</v>
      </c>
      <c r="H68" s="107">
        <v>1</v>
      </c>
      <c r="I68" s="108"/>
      <c r="J68" s="108"/>
      <c r="K68" s="108"/>
      <c r="L68" s="63"/>
      <c r="M68" s="120">
        <v>1.4</v>
      </c>
      <c r="N68" s="120">
        <v>1.68</v>
      </c>
      <c r="O68" s="120">
        <v>2.23</v>
      </c>
      <c r="P68" s="121">
        <v>2.57</v>
      </c>
      <c r="Q68" s="122"/>
      <c r="R68" s="123">
        <f>(Q68/12*2*$E68*$G68*$H68*$M68*$R$11)+(Q68/12*10*$F68*$G68*$H68*$M68*$R$11)</f>
        <v>0</v>
      </c>
      <c r="S68" s="124"/>
      <c r="T68" s="125">
        <f>(S68/12*2*$E68*$G68*$H68*$M68*$R$11)+(S68/12*10*$F68*$G68*$H68*$M68*$R$11)</f>
        <v>0</v>
      </c>
      <c r="U68" s="123">
        <v>25</v>
      </c>
      <c r="V68" s="123">
        <f>(U68/12*2*$E68*$G68*$H68*$M68*$V$11)+(U68/12*10*$F68*$G68*$H68*$M68*$V$12)</f>
        <v>1670629.3158333334</v>
      </c>
      <c r="W68" s="123">
        <v>10</v>
      </c>
      <c r="X68" s="126">
        <f>(W68/12*2*$E68*$G68*$H68*$M68*$X$11)+(W68/12*10*$F68*$G68*$H68*$M68*$X$12)</f>
        <v>668251.72633333341</v>
      </c>
      <c r="Y68" s="123"/>
      <c r="Z68" s="123">
        <f>(Y68/12*2*$E68*$G68*$H68*$M68*$Z$11)+(Y68/12*10*$F68*$G68*$H68*$M68*$Z$12)</f>
        <v>0</v>
      </c>
      <c r="AA68" s="123"/>
      <c r="AB68" s="123">
        <f>(AA68/12*2*$E68*$G68*$H68*$M68*$AB$11)+(AA68/12*10*$F68*$G68*$H68*$M68*$AB$11)</f>
        <v>0</v>
      </c>
      <c r="AC68" s="123"/>
      <c r="AD68" s="123"/>
      <c r="AE68" s="123"/>
      <c r="AF68" s="123">
        <f>(AE68/12*2*$E68*$G68*$H68*$M68*$AF$11)+(AE68/12*10*$F68*$G68*$H68*$M68*$AF$11)</f>
        <v>0</v>
      </c>
      <c r="AG68" s="123">
        <v>0</v>
      </c>
      <c r="AH68" s="126">
        <f>(AG68/12*2*$E68*$G68*$H68*$M68*$AH$11)+(AG68/12*10*$F68*$G68*$H68*$M68*$AH$11)</f>
        <v>0</v>
      </c>
      <c r="AI68" s="123"/>
      <c r="AJ68" s="123">
        <f t="shared" si="43"/>
        <v>0</v>
      </c>
      <c r="AK68" s="123">
        <v>46</v>
      </c>
      <c r="AL68" s="123">
        <f t="shared" si="44"/>
        <v>3552333.4823200004</v>
      </c>
      <c r="AM68" s="132"/>
      <c r="AN68" s="123">
        <f>(AM68/12*2*$E68*$G68*$H68*$N68*$AN$11)+(AM68/12*10*$F68*$G68*$H68*$N68*$AN$12)</f>
        <v>0</v>
      </c>
      <c r="AO68" s="130"/>
      <c r="AP68" s="127">
        <f>(AO68/12*2*$E68*$G68*$H68*$N68*$AP$11)+(AO68/12*10*$F68*$G68*$H68*$N68*$AP$11)</f>
        <v>0</v>
      </c>
      <c r="AQ68" s="127">
        <v>0</v>
      </c>
      <c r="AR68" s="127">
        <v>0</v>
      </c>
      <c r="AS68" s="123"/>
      <c r="AT68" s="123">
        <f>(AS68/12*2*$E68*$G68*$H68*$M68*$AT$11)+(AS68/12*10*$F68*$G68*$H68*$M68*$AT$11)</f>
        <v>0</v>
      </c>
      <c r="AU68" s="123"/>
      <c r="AV68" s="126">
        <f>(AU68/12*2*$E68*$G68*$H68*$M68*$AV$11)+(AU68/12*10*$F68*$G68*$H68*$M68*$AV$12)</f>
        <v>0</v>
      </c>
      <c r="AW68" s="123"/>
      <c r="AX68" s="123">
        <f>(AW68/12*2*$E68*$G68*$H68*$M68*$AX$11)+(AW68/12*10*$F68*$G68*$H68*$M68*$AX$12)</f>
        <v>0</v>
      </c>
      <c r="AY68" s="123">
        <v>4</v>
      </c>
      <c r="AZ68" s="123">
        <f>(AY68/12*2*$E68*$G68*$H68*$N68*$AZ$11)+(AY68/12*10*$F68*$G68*$H68*$N68*$AZ$11)</f>
        <v>263075.58815999998</v>
      </c>
      <c r="BA68" s="123"/>
      <c r="BB68" s="123">
        <f>(BA68/12*2*$E68*$G68*$H68*$N68*$BB$11)+(BA68/12*10*$F68*$G68*$H68*$N68*$BB$12)</f>
        <v>0</v>
      </c>
      <c r="BC68" s="123"/>
      <c r="BD68" s="126">
        <f>(BC68/12*2*$E68*$G68*$H68*$N68*$BD$11)+(BC68/12*10*$F68*$G68*$H68*$N68*$BD$12)</f>
        <v>0</v>
      </c>
      <c r="BE68" s="123"/>
      <c r="BF68" s="123">
        <f>(BE68/12*10*$F68*$G68*$H68*$N68*$BF$12)</f>
        <v>0</v>
      </c>
      <c r="BG68" s="123"/>
      <c r="BH68" s="123">
        <f>(BG68/12*2*$E68*$G68*$H68*$N68*$BH$11)+(BG68/12*10*$F68*$G68*$H68*$N68*$BH$11)</f>
        <v>0</v>
      </c>
      <c r="BI68" s="123">
        <v>4</v>
      </c>
      <c r="BJ68" s="126">
        <f>(BI68/12*2*$E68*$G68*$H68*$N68*$BJ$11)+(BI68/12*10*$F68*$G68*$H68*$N68*$BJ$11)</f>
        <v>286991.55071999994</v>
      </c>
      <c r="BK68" s="123"/>
      <c r="BL68" s="127">
        <f>(BK68/12*2*$E68*$G68*$H68*$N68*$BL$11)+(BK68/12*10*$F68*$G68*$H68*$N68*$BL$11)</f>
        <v>0</v>
      </c>
      <c r="BM68" s="123"/>
      <c r="BN68" s="123">
        <f>(BM68/12*2*$E68*$G68*$H68*$M68*$BN$11)+(BM68/12*10*$F68*$G68*$H68*$M68*$BN$11)</f>
        <v>0</v>
      </c>
      <c r="BO68" s="123"/>
      <c r="BP68" s="123">
        <f>(BO68/12*2*$E68*$G68*$H68*$M68*$BP$11)+(BO68/12*10*$F68*$G68*$H68*$M68*$BP$12)</f>
        <v>0</v>
      </c>
      <c r="BQ68" s="123"/>
      <c r="BR68" s="123">
        <f>(BQ68/12*2*$E68*$G68*$H68*$M68*$BR$11)+(BQ68/12*10*$F68*$G68*$H68*$M68*$BR$11)</f>
        <v>0</v>
      </c>
      <c r="BS68" s="123"/>
      <c r="BT68" s="123">
        <f>(BS68/12*2*$E68*$G68*$H68*$N68*$BT$11)+(BS68/12*10*$F68*$G68*$H68*$N68*$BT$11)</f>
        <v>0</v>
      </c>
      <c r="BU68" s="123"/>
      <c r="BV68" s="126">
        <f>(BU68/12*2*$E68*$G68*$H68*$M68*$BV$11)+(BU68/12*10*$F68*$G68*$H68*$M68*$BV$11)</f>
        <v>0</v>
      </c>
      <c r="BW68" s="123"/>
      <c r="BX68" s="123">
        <f>(BW68/12*2*$E68*$G68*$H68*$M68*$BX$11)+(BW68/12*10*$F68*$G68*$H68*$M68*$BX$11)</f>
        <v>0</v>
      </c>
      <c r="BY68" s="123"/>
      <c r="BZ68" s="123">
        <f>(BY68/12*2*$E68*$G68*$H68*$M68*$BZ$11)+(BY68/12*10*$F68*$G68*$H68*$M68*$BZ$11)</f>
        <v>0</v>
      </c>
      <c r="CA68" s="123"/>
      <c r="CB68" s="123">
        <f>(CA68/12*2*$E68*$G68*$H68*$M68*$CB$11)+(CA68/12*10*$F68*$G68*$H68*$M68*$CB$11)</f>
        <v>0</v>
      </c>
      <c r="CC68" s="123"/>
      <c r="CD68" s="123">
        <f>(CC68/12*2*$E68*$G68*$H68*$M68*$CD$11)+(CC68/12*10*$F68*$G68*$H68*$M68*$CD$11)</f>
        <v>0</v>
      </c>
      <c r="CE68" s="123"/>
      <c r="CF68" s="123">
        <f>(CE68/12*10*$F68*$G68*$H68*$N68*$CF$11)</f>
        <v>0</v>
      </c>
      <c r="CG68" s="132"/>
      <c r="CH68" s="123">
        <f>(CG68/12*2*$E68*$G68*$H68*$N68*$CH$11)+(CG68/12*10*$F68*$G68*$H68*$N68*$CH$11)</f>
        <v>0</v>
      </c>
      <c r="CI68" s="123"/>
      <c r="CJ68" s="127">
        <f>(CI68*$E68*$G68*$H68*$N68*CJ$11)</f>
        <v>0</v>
      </c>
      <c r="CK68" s="123"/>
      <c r="CL68" s="123">
        <f>(CK68/12*2*$E68*$G68*$H68*$N68*$CL$11)+(CK68/12*10*$F68*$G68*$H68*$N68*$CL$12)</f>
        <v>0</v>
      </c>
      <c r="CM68" s="130"/>
      <c r="CN68" s="123">
        <f>(CM68/12*2*$E68*$G68*$H68*$N68*$CN$11)+(CM68/12*10*$F68*$G68*$H68*$N68*$CN$11)</f>
        <v>0</v>
      </c>
      <c r="CO68" s="123"/>
      <c r="CP68" s="123">
        <f>(CO68/12*2*$E68*$G68*$H68*$N68*$CP$11)+(CO68/12*10*$F68*$G68*$H68*$N68*$CP$11)</f>
        <v>0</v>
      </c>
      <c r="CQ68" s="123"/>
      <c r="CR68" s="123">
        <f>(CQ68/12*2*$E68*$G68*$H68*$O68*$CR$11)+(CQ68/12*10*$F68*$G68*$H68*$O68*$CR$11)</f>
        <v>0</v>
      </c>
      <c r="CS68" s="123"/>
      <c r="CT68" s="133">
        <f>(CS68/12*2*$E68*$G68*$H68*$P68*$CT$11)+(CS68/12*10*$F68*$G68*$H68*$P68*$CT$11)</f>
        <v>0</v>
      </c>
      <c r="CU68" s="127"/>
      <c r="CV68" s="127"/>
      <c r="CW68" s="126">
        <f t="shared" si="42"/>
        <v>89</v>
      </c>
      <c r="CX68" s="126">
        <f t="shared" si="42"/>
        <v>6441281.663366667</v>
      </c>
    </row>
    <row r="69" spans="1:102" ht="30" customHeight="1" x14ac:dyDescent="0.25">
      <c r="A69" s="91"/>
      <c r="B69" s="116">
        <v>47</v>
      </c>
      <c r="C69" s="117" t="s">
        <v>226</v>
      </c>
      <c r="D69" s="161" t="s">
        <v>227</v>
      </c>
      <c r="E69" s="95">
        <v>28004</v>
      </c>
      <c r="F69" s="96">
        <v>29405</v>
      </c>
      <c r="G69" s="119">
        <v>1.78</v>
      </c>
      <c r="H69" s="107">
        <v>1</v>
      </c>
      <c r="I69" s="108"/>
      <c r="J69" s="108"/>
      <c r="K69" s="108"/>
      <c r="L69" s="63"/>
      <c r="M69" s="120">
        <v>1.4</v>
      </c>
      <c r="N69" s="120">
        <v>1.68</v>
      </c>
      <c r="O69" s="120">
        <v>2.23</v>
      </c>
      <c r="P69" s="121">
        <v>2.57</v>
      </c>
      <c r="Q69" s="122"/>
      <c r="R69" s="123">
        <f>(Q69/12*2*$E69*$G69*$H69*$M69*$R$11)+(Q69/12*10*$F69*$G69*$H69*$M69*$R$11)</f>
        <v>0</v>
      </c>
      <c r="S69" s="124"/>
      <c r="T69" s="125">
        <f>(S69/12*2*$E69*$G69*$H69*$M69*$R$11)+(S69/12*10*$F69*$G69*$H69*$M69*$R$11)</f>
        <v>0</v>
      </c>
      <c r="U69" s="123">
        <v>20</v>
      </c>
      <c r="V69" s="123">
        <f>(U69/12*2*$E69*$G69*$H69*$M69*$V$11)+(U69/12*10*$F69*$G69*$H69*$M69*$V$12)</f>
        <v>1949980.4473333335</v>
      </c>
      <c r="W69" s="123"/>
      <c r="X69" s="126">
        <f>(W69/12*2*$E69*$G69*$H69*$M69*$X$11)+(W69/12*10*$F69*$G69*$H69*$M69*$X$12)</f>
        <v>0</v>
      </c>
      <c r="Y69" s="123"/>
      <c r="Z69" s="123">
        <f>(Y69/12*2*$E69*$G69*$H69*$M69*$Z$11)+(Y69/12*10*$F69*$G69*$H69*$M69*$Z$12)</f>
        <v>0</v>
      </c>
      <c r="AA69" s="123"/>
      <c r="AB69" s="123">
        <f>(AA69/12*2*$E69*$G69*$H69*$M69*$AB$11)+(AA69/12*10*$F69*$G69*$H69*$M69*$AB$11)</f>
        <v>0</v>
      </c>
      <c r="AC69" s="123"/>
      <c r="AD69" s="123"/>
      <c r="AE69" s="123"/>
      <c r="AF69" s="127">
        <f>(AE69/12*2*$E69*$G69*$H69*$M69*$AF$11)+(AE69/12*10*$F69*$G69*$H69*$M69*$AF$11)</f>
        <v>0</v>
      </c>
      <c r="AG69" s="123">
        <v>1</v>
      </c>
      <c r="AH69" s="126">
        <f>(AG69/12*2*$E69*$G69*$H69*$M69*$AH$11)+(AG69/12*10*$F69*$G69*$H69*$M69*$AH$11)</f>
        <v>79964.915799999988</v>
      </c>
      <c r="AI69" s="130"/>
      <c r="AJ69" s="123">
        <f t="shared" si="43"/>
        <v>0</v>
      </c>
      <c r="AK69" s="123">
        <v>3</v>
      </c>
      <c r="AL69" s="123">
        <f t="shared" si="44"/>
        <v>338016.05124000006</v>
      </c>
      <c r="AM69" s="132"/>
      <c r="AN69" s="123">
        <f>(AM69/12*2*$E69*$G69*$H69*$N69*$AN$11)+(AM69/12*10*$F69*$G69*$H69*$N69*$AN$12)</f>
        <v>0</v>
      </c>
      <c r="AO69" s="130"/>
      <c r="AP69" s="127">
        <f>(AO69/12*2*$E69*$G69*$H69*$N69*$AP$11)+(AO69/12*10*$F69*$G69*$H69*$N69*$AP$11)</f>
        <v>0</v>
      </c>
      <c r="AQ69" s="127">
        <v>0</v>
      </c>
      <c r="AR69" s="127">
        <v>0</v>
      </c>
      <c r="AS69" s="123"/>
      <c r="AT69" s="123">
        <f>(AS69/12*2*$E69*$G69*$H69*$M69*$AT$11)+(AS69/12*10*$F69*$G69*$H69*$M69*$AT$11)</f>
        <v>0</v>
      </c>
      <c r="AU69" s="123"/>
      <c r="AV69" s="126">
        <f>(AU69/12*2*$E69*$G69*$H69*$M69*$AV$11)+(AU69/12*10*$F69*$G69*$H69*$M69*$AV$12)</f>
        <v>0</v>
      </c>
      <c r="AW69" s="123"/>
      <c r="AX69" s="123">
        <f>(AW69/12*2*$E69*$G69*$H69*$M69*$AX$11)+(AW69/12*10*$F69*$G69*$H69*$M69*$AX$12)</f>
        <v>0</v>
      </c>
      <c r="AY69" s="123"/>
      <c r="AZ69" s="123">
        <f>(AY69/12*2*$E69*$G69*$H69*$N69*$AZ$11)+(AY69/12*10*$F69*$G69*$H69*$N69*$AZ$11)</f>
        <v>0</v>
      </c>
      <c r="BA69" s="123"/>
      <c r="BB69" s="123">
        <f>(BA69/12*2*$E69*$G69*$H69*$N69*$BB$11)+(BA69/12*10*$F69*$G69*$H69*$N69*$BB$12)</f>
        <v>0</v>
      </c>
      <c r="BC69" s="123"/>
      <c r="BD69" s="126">
        <f>(BC69/12*2*$E69*$G69*$H69*$N69*$BD$11)+(BC69/12*10*$F69*$G69*$H69*$N69*$BD$12)</f>
        <v>0</v>
      </c>
      <c r="BE69" s="123"/>
      <c r="BF69" s="123">
        <f>(BE69/12*10*$F69*$G69*$H69*$N69*$BF$12)</f>
        <v>0</v>
      </c>
      <c r="BG69" s="123"/>
      <c r="BH69" s="123">
        <f>(BG69/12*2*$E69*$G69*$H69*$N69*$BH$11)+(BG69/12*10*$F69*$G69*$H69*$N69*$BH$11)</f>
        <v>0</v>
      </c>
      <c r="BI69" s="123"/>
      <c r="BJ69" s="126">
        <f>(BI69/12*2*$E69*$G69*$H69*$N69*$BJ$11)+(BI69/12*10*$F69*$G69*$H69*$N69*$BJ$11)</f>
        <v>0</v>
      </c>
      <c r="BK69" s="123">
        <v>4</v>
      </c>
      <c r="BL69" s="127">
        <f>(BK69/12*2*$E69*$G69*$H69*$N69*$BL$11)+(BK69/12*10*$F69*$G69*$H69*$N69*$BL$11)</f>
        <v>418725.3772799999</v>
      </c>
      <c r="BM69" s="123"/>
      <c r="BN69" s="123">
        <f>(BM69/12*2*$E69*$G69*$H69*$M69*$BN$11)+(BM69/12*10*$F69*$G69*$H69*$M69*$BN$11)</f>
        <v>0</v>
      </c>
      <c r="BO69" s="123"/>
      <c r="BP69" s="123">
        <f>(BO69/12*2*$E69*$G69*$H69*$M69*$BP$11)+(BO69/12*10*$F69*$G69*$H69*$M69*$BP$12)</f>
        <v>0</v>
      </c>
      <c r="BQ69" s="123"/>
      <c r="BR69" s="123">
        <f>(BQ69/12*2*$E69*$G69*$H69*$M69*$BR$11)+(BQ69/12*10*$F69*$G69*$H69*$M69*$BR$11)</f>
        <v>0</v>
      </c>
      <c r="BS69" s="123"/>
      <c r="BT69" s="123">
        <f>(BS69/12*2*$E69*$G69*$H69*$N69*$BT$11)+(BS69/12*10*$F69*$G69*$H69*$N69*$BT$11)</f>
        <v>0</v>
      </c>
      <c r="BU69" s="123"/>
      <c r="BV69" s="126">
        <f>(BU69/12*2*$E69*$G69*$H69*$M69*$BV$11)+(BU69/12*10*$F69*$G69*$H69*$M69*$BV$11)</f>
        <v>0</v>
      </c>
      <c r="BW69" s="123"/>
      <c r="BX69" s="123">
        <f>(BW69/12*2*$E69*$G69*$H69*$M69*$BX$11)+(BW69/12*10*$F69*$G69*$H69*$M69*$BX$11)</f>
        <v>0</v>
      </c>
      <c r="BY69" s="123"/>
      <c r="BZ69" s="123">
        <f>(BY69/12*2*$E69*$G69*$H69*$M69*$BZ$11)+(BY69/12*10*$F69*$G69*$H69*$M69*$BZ$11)</f>
        <v>0</v>
      </c>
      <c r="CA69" s="123"/>
      <c r="CB69" s="123">
        <f>(CA69/12*2*$E69*$G69*$H69*$M69*$CB$11)+(CA69/12*10*$F69*$G69*$H69*$M69*$CB$11)</f>
        <v>0</v>
      </c>
      <c r="CC69" s="123"/>
      <c r="CD69" s="123">
        <f>(CC69/12*2*$E69*$G69*$H69*$M69*$CD$11)+(CC69/12*10*$F69*$G69*$H69*$M69*$CD$11)</f>
        <v>0</v>
      </c>
      <c r="CE69" s="123"/>
      <c r="CF69" s="123">
        <f>(CE69/12*10*$F69*$G69*$H69*$N69*$CF$11)</f>
        <v>0</v>
      </c>
      <c r="CG69" s="132"/>
      <c r="CH69" s="123">
        <f>(CG69/12*2*$E69*$G69*$H69*$N69*$CH$11)+(CG69/12*10*$F69*$G69*$H69*$N69*$CH$11)</f>
        <v>0</v>
      </c>
      <c r="CI69" s="123"/>
      <c r="CJ69" s="127">
        <f>(CI69*$E69*$G69*$H69*$N69*CJ$11)</f>
        <v>0</v>
      </c>
      <c r="CK69" s="123"/>
      <c r="CL69" s="123">
        <f>(CK69/12*2*$E69*$G69*$H69*$N69*$CL$11)+(CK69/12*10*$F69*$G69*$H69*$N69*$CL$12)</f>
        <v>0</v>
      </c>
      <c r="CM69" s="130"/>
      <c r="CN69" s="123">
        <f>(CM69/12*2*$E69*$G69*$H69*$N69*$CN$11)+(CM69/12*10*$F69*$G69*$H69*$N69*$CN$11)</f>
        <v>0</v>
      </c>
      <c r="CO69" s="123"/>
      <c r="CP69" s="123">
        <f>(CO69/12*2*$E69*$G69*$H69*$N69*$CP$11)+(CO69/12*10*$F69*$G69*$H69*$N69*$CP$11)</f>
        <v>0</v>
      </c>
      <c r="CQ69" s="123"/>
      <c r="CR69" s="123">
        <f>(CQ69/12*2*$E69*$G69*$H69*$O69*$CR$11)+(CQ69/12*10*$F69*$G69*$H69*$O69*$CR$11)</f>
        <v>0</v>
      </c>
      <c r="CS69" s="123"/>
      <c r="CT69" s="133">
        <f>(CS69/12*2*$E69*$G69*$H69*$P69*$CT$11)+(CS69/12*10*$F69*$G69*$H69*$P69*$CT$11)</f>
        <v>0</v>
      </c>
      <c r="CU69" s="127"/>
      <c r="CV69" s="127"/>
      <c r="CW69" s="126">
        <f t="shared" si="42"/>
        <v>28</v>
      </c>
      <c r="CX69" s="126">
        <f t="shared" si="42"/>
        <v>2786686.7916533332</v>
      </c>
    </row>
    <row r="70" spans="1:102" ht="29.25" customHeight="1" x14ac:dyDescent="0.25">
      <c r="A70" s="91"/>
      <c r="B70" s="116">
        <v>48</v>
      </c>
      <c r="C70" s="117" t="s">
        <v>228</v>
      </c>
      <c r="D70" s="207" t="s">
        <v>229</v>
      </c>
      <c r="E70" s="95">
        <v>28004</v>
      </c>
      <c r="F70" s="96">
        <v>29405</v>
      </c>
      <c r="G70" s="119">
        <v>2.23</v>
      </c>
      <c r="H70" s="107">
        <v>1</v>
      </c>
      <c r="I70" s="108"/>
      <c r="J70" s="108"/>
      <c r="K70" s="108"/>
      <c r="L70" s="63"/>
      <c r="M70" s="120">
        <v>1.4</v>
      </c>
      <c r="N70" s="120">
        <v>1.68</v>
      </c>
      <c r="O70" s="120">
        <v>2.23</v>
      </c>
      <c r="P70" s="121">
        <v>2.57</v>
      </c>
      <c r="Q70" s="122"/>
      <c r="R70" s="123">
        <f>(Q70/12*2*$E70*$G70*$H70*$M70)+(Q70/12*10*$F70*$G70*$H70*$M70)</f>
        <v>0</v>
      </c>
      <c r="S70" s="124"/>
      <c r="T70" s="125">
        <f>(S70/12*2*$E70*$G70*$H70*$M70)+(S70/12*10*$F70*$G70*$H70*$M70)</f>
        <v>0</v>
      </c>
      <c r="U70" s="123">
        <v>5</v>
      </c>
      <c r="V70" s="123">
        <f>(U70/12*2*$E70*$G70*$H70*$M70)+(U70/12*10*$F70*$G70*$H70*$M70)</f>
        <v>455367.11499999999</v>
      </c>
      <c r="W70" s="123"/>
      <c r="X70" s="123">
        <f>(W70/12*2*$E70*$G70*$H70*$M70)+(W70/12*10*$F70*$G70*$H70*$M70)</f>
        <v>0</v>
      </c>
      <c r="Y70" s="123"/>
      <c r="Z70" s="123">
        <f>(Y70/12*2*$E70*$G70*$H70*$M70)+(Y70/12*10*$F70*$G70*$H70*$M70)</f>
        <v>0</v>
      </c>
      <c r="AA70" s="123"/>
      <c r="AB70" s="123">
        <f>(AA70/12*2*$E70*$G70*$H70*$M70)+(AA70/12*10*$F70*$G70*$H70*$M70)</f>
        <v>0</v>
      </c>
      <c r="AC70" s="123"/>
      <c r="AD70" s="123"/>
      <c r="AE70" s="123"/>
      <c r="AF70" s="123">
        <f>(AE70/12*2*$E70*$G70*$H70*$M70)+(AE70/12*10*$F70*$G70*$H70*$M70)</f>
        <v>0</v>
      </c>
      <c r="AG70" s="135">
        <v>0</v>
      </c>
      <c r="AH70" s="135">
        <f>(AG70/12*2*$E70*$G70*$H70*$M70)+(AG70/12*10*$F70*$G70*$H70*$M70)</f>
        <v>0</v>
      </c>
      <c r="AI70" s="123"/>
      <c r="AJ70" s="123">
        <f>(AI70/12*2*$E70*$G70*$H70*$M70)+(AI70/12*10*$F70*$G70*$H70*$M70)</f>
        <v>0</v>
      </c>
      <c r="AK70" s="123"/>
      <c r="AL70" s="126">
        <f>(AK70/12*2*$E70*$G70*$H70*$N70)+(AK70/12*10*$F70*$G70*$H70*$N70)</f>
        <v>0</v>
      </c>
      <c r="AM70" s="132"/>
      <c r="AN70" s="123">
        <f>(AM70/12*2*$E70*$G70*$H70*$N70)+(AM70/12*10*$F70*$G70*$H70*$N70)</f>
        <v>0</v>
      </c>
      <c r="AO70" s="130"/>
      <c r="AP70" s="123">
        <f>(AO70/12*2*$E70*$G70*$H70*$N70)+(AO70/12*10*$F70*$G70*$H70*$N70)</f>
        <v>0</v>
      </c>
      <c r="AQ70" s="123">
        <v>0</v>
      </c>
      <c r="AR70" s="123">
        <v>0</v>
      </c>
      <c r="AS70" s="123"/>
      <c r="AT70" s="123"/>
      <c r="AU70" s="123"/>
      <c r="AV70" s="123"/>
      <c r="AW70" s="123"/>
      <c r="AX70" s="123">
        <f>(AW70/12*2*$E70*$G70*$H70*$M70)+(AW70/12*10*$F70*$G70*$H70*$M70)</f>
        <v>0</v>
      </c>
      <c r="AY70" s="123"/>
      <c r="AZ70" s="123">
        <f>(AY70/12*2*$E70*$G70*$H70*$N70)+(AY70/12*10*$F70*$G70*$H70*$N70)</f>
        <v>0</v>
      </c>
      <c r="BA70" s="123"/>
      <c r="BB70" s="123">
        <f>(BA70/12*2*$E70*$G70*$H70*$N70)+(BA70/12*10*$F70*$G70*$H70*$N70)</f>
        <v>0</v>
      </c>
      <c r="BC70" s="123"/>
      <c r="BD70" s="123">
        <f>(BC70/12*2*$E70*$G70*$H70*$N70)+(BC70/12*10*$F70*$G70*$H70*$N70)</f>
        <v>0</v>
      </c>
      <c r="BE70" s="123"/>
      <c r="BF70" s="123">
        <f>(BE70/12*10*$F70*$G70*$H70*$N70)</f>
        <v>0</v>
      </c>
      <c r="BG70" s="123"/>
      <c r="BH70" s="123">
        <f>(BG70/12*2*$E70*$G70*$H70*$N70)+(BG70/12*10*$F70*$G70*$H70*$N70)</f>
        <v>0</v>
      </c>
      <c r="BI70" s="123"/>
      <c r="BJ70" s="123">
        <f>(BI70/12*2*$E70*$G70*$H70*$N70)+(BI70/12*10*$F70*$G70*$H70*$N70)</f>
        <v>0</v>
      </c>
      <c r="BK70" s="123"/>
      <c r="BL70" s="123">
        <f>(BK70/12*2*$E70*$G70*$H70*$N70)+(BK70/12*10*$F70*$G70*$H70*$N70)</f>
        <v>0</v>
      </c>
      <c r="BM70" s="123"/>
      <c r="BN70" s="123">
        <f>(BM70/12*2*$E70*$G70*$H70*$M70)+(BM70/12*10*$F70*$G70*$H70*$M70)</f>
        <v>0</v>
      </c>
      <c r="BO70" s="123"/>
      <c r="BP70" s="123">
        <f>(BO70/12*2*$E70*$G70*$H70*$M70)+(BO70/12*10*$F70*$G70*$H70*$M70)</f>
        <v>0</v>
      </c>
      <c r="BQ70" s="123"/>
      <c r="BR70" s="123">
        <f>(BQ70/12*2*$E70*$G70*$H70*$M70)+(BQ70/12*10*$F70*$G70*$H70*$M70)</f>
        <v>0</v>
      </c>
      <c r="BS70" s="123"/>
      <c r="BT70" s="123">
        <f>(BS70/12*2*$E70*$G70*$H70*$N70)+(BS70/12*10*$F70*$G70*$H70*$N70)</f>
        <v>0</v>
      </c>
      <c r="BU70" s="123"/>
      <c r="BV70" s="123">
        <f>(BU70/12*2*$E70*$G70*$H70*$M70)+(BU70/12*10*$F70*$G70*$H70*$M70)</f>
        <v>0</v>
      </c>
      <c r="BW70" s="123"/>
      <c r="BX70" s="123">
        <f>(BW70/12*2*$E70*$G70*$H70*$M70)+(BW70/12*10*$F70*$G70*$H70*$M70)</f>
        <v>0</v>
      </c>
      <c r="BY70" s="123"/>
      <c r="BZ70" s="123">
        <f>(BY70/12*2*$E70*$G70*$H70*$M70)+(BY70/12*10*$F70*$G70*$H70*$M70)</f>
        <v>0</v>
      </c>
      <c r="CA70" s="123"/>
      <c r="CB70" s="123">
        <f>(CA70/12*2*$E70*$G70*$H70*$M70)+(CA70/12*10*$F70*$G70*$H70*$M70)</f>
        <v>0</v>
      </c>
      <c r="CC70" s="123"/>
      <c r="CD70" s="123">
        <f>(CC70/12*2*$E70*$G70*$H70*$M70)+(CC70/12*10*$F70*$G70*$H70*$M70)</f>
        <v>0</v>
      </c>
      <c r="CE70" s="123"/>
      <c r="CF70" s="123">
        <f>(CE70/12*10*$F70*$G70*$H70*$N70)</f>
        <v>0</v>
      </c>
      <c r="CG70" s="132"/>
      <c r="CH70" s="123">
        <f>(CG70/12*2*$E70*$G70*$H70*$N70)+(CG70/12*10*$F70*$G70*$H70*$N70)</f>
        <v>0</v>
      </c>
      <c r="CI70" s="123"/>
      <c r="CJ70" s="127">
        <f>(CI70*$E70*$G70*$H70*$N70)</f>
        <v>0</v>
      </c>
      <c r="CK70" s="123"/>
      <c r="CL70" s="123">
        <f>(CK70/12*2*$E70*$G70*$H70*$N70)+(CK70/12*10*$F70*$G70*$H70*$N70)</f>
        <v>0</v>
      </c>
      <c r="CM70" s="130"/>
      <c r="CN70" s="123">
        <f>(CM70/12*2*$E70*$G70*$H70*$N70)+(CM70/12*10*$F70*$G70*$H70*$N70)</f>
        <v>0</v>
      </c>
      <c r="CO70" s="123"/>
      <c r="CP70" s="123">
        <f>(CO70/12*2*$E70*$G70*$H70*$N70)+(CO70/12*10*$F70*$G70*$H70*$N70)</f>
        <v>0</v>
      </c>
      <c r="CQ70" s="123"/>
      <c r="CR70" s="123">
        <f>(CQ70/12*2*$E70*$G70*$H70*$O70)+(CQ70/12*10*$F70*$G70*$H70*$O70)</f>
        <v>0</v>
      </c>
      <c r="CS70" s="123"/>
      <c r="CT70" s="127">
        <f>(CS70/12*2*$E70*$G70*$H70*$P70)+(CS70/12*10*$F70*$G70*$H70*$P70)</f>
        <v>0</v>
      </c>
      <c r="CU70" s="127"/>
      <c r="CV70" s="127"/>
      <c r="CW70" s="126">
        <f t="shared" si="42"/>
        <v>5</v>
      </c>
      <c r="CX70" s="126">
        <f t="shared" si="42"/>
        <v>455367.11499999999</v>
      </c>
    </row>
    <row r="71" spans="1:102" ht="30" customHeight="1" x14ac:dyDescent="0.25">
      <c r="A71" s="91"/>
      <c r="B71" s="116">
        <v>49</v>
      </c>
      <c r="C71" s="117" t="s">
        <v>230</v>
      </c>
      <c r="D71" s="161" t="s">
        <v>231</v>
      </c>
      <c r="E71" s="95">
        <v>28004</v>
      </c>
      <c r="F71" s="96">
        <v>29405</v>
      </c>
      <c r="G71" s="119">
        <v>2.36</v>
      </c>
      <c r="H71" s="107">
        <v>1</v>
      </c>
      <c r="I71" s="108"/>
      <c r="J71" s="108"/>
      <c r="K71" s="108"/>
      <c r="L71" s="63"/>
      <c r="M71" s="120">
        <v>1.4</v>
      </c>
      <c r="N71" s="120">
        <v>1.68</v>
      </c>
      <c r="O71" s="120">
        <v>2.23</v>
      </c>
      <c r="P71" s="121">
        <v>2.57</v>
      </c>
      <c r="Q71" s="122"/>
      <c r="R71" s="123">
        <f>(Q71/12*2*$E71*$G71*$H71*$M71)+(Q71/12*10*$F71*$G71*$H71*$M71)</f>
        <v>0</v>
      </c>
      <c r="S71" s="124"/>
      <c r="T71" s="125">
        <f>(S71/12*2*$E71*$G71*$H71*$M71)+(S71/12*10*$F71*$G71*$H71*$M71)</f>
        <v>0</v>
      </c>
      <c r="U71" s="123">
        <v>1</v>
      </c>
      <c r="V71" s="123">
        <f>(U71/12*2*$E71*$G71*$H71*$M71)+(U71/12*10*$F71*$G71*$H71*$M71)</f>
        <v>96382.635999999984</v>
      </c>
      <c r="W71" s="123"/>
      <c r="X71" s="123">
        <f>(W71/12*2*$E71*$G71*$H71*$M71)+(W71/12*10*$F71*$G71*$H71*$M71)</f>
        <v>0</v>
      </c>
      <c r="Y71" s="123"/>
      <c r="Z71" s="123">
        <f>(Y71/12*2*$E71*$G71*$H71*$M71)+(Y71/12*10*$F71*$G71*$H71*$M71)</f>
        <v>0</v>
      </c>
      <c r="AA71" s="123"/>
      <c r="AB71" s="123">
        <f>(AA71/12*2*$E71*$G71*$H71*$M71)+(AA71/12*10*$F71*$G71*$H71*$M71)</f>
        <v>0</v>
      </c>
      <c r="AC71" s="123"/>
      <c r="AD71" s="123"/>
      <c r="AE71" s="123"/>
      <c r="AF71" s="123">
        <f>(AE71/12*2*$E71*$G71*$H71*$M71)+(AE71/12*10*$F71*$G71*$H71*$M71)</f>
        <v>0</v>
      </c>
      <c r="AG71" s="123">
        <v>0</v>
      </c>
      <c r="AH71" s="123">
        <f>(AG71/12*2*$E71*$G71*$H71*$M71)+(AG71/12*10*$F71*$G71*$H71*$M71)</f>
        <v>0</v>
      </c>
      <c r="AI71" s="123"/>
      <c r="AJ71" s="123">
        <f>(AI71/12*2*$E71*$G71*$H71*$M71)+(AI71/12*10*$F71*$G71*$H71*$M71)</f>
        <v>0</v>
      </c>
      <c r="AK71" s="123"/>
      <c r="AL71" s="126">
        <f>(AK71/12*2*$E71*$G71*$H71*$N71)+(AK71/12*10*$F71*$G71*$H71*$N71)</f>
        <v>0</v>
      </c>
      <c r="AM71" s="132"/>
      <c r="AN71" s="123">
        <f>(AM71/12*2*$E71*$G71*$H71*$N71)+(AM71/12*10*$F71*$G71*$H71*$N71)</f>
        <v>0</v>
      </c>
      <c r="AO71" s="130"/>
      <c r="AP71" s="123">
        <f>(AO71/12*2*$E71*$G71*$H71*$N71)+(AO71/12*10*$F71*$G71*$H71*$N71)</f>
        <v>0</v>
      </c>
      <c r="AQ71" s="123">
        <v>0</v>
      </c>
      <c r="AR71" s="123">
        <v>0</v>
      </c>
      <c r="AS71" s="123"/>
      <c r="AT71" s="123"/>
      <c r="AU71" s="123"/>
      <c r="AV71" s="123"/>
      <c r="AW71" s="123"/>
      <c r="AX71" s="123">
        <f>(AW71/12*2*$E71*$G71*$H71*$M71)+(AW71/12*10*$F71*$G71*$H71*$M71)</f>
        <v>0</v>
      </c>
      <c r="AY71" s="123"/>
      <c r="AZ71" s="123">
        <f>(AY71/12*2*$E71*$G71*$H71*$N71)+(AY71/12*10*$F71*$G71*$H71*$N71)</f>
        <v>0</v>
      </c>
      <c r="BA71" s="123"/>
      <c r="BB71" s="123">
        <f>(BA71/12*2*$E71*$G71*$H71*$N71)+(BA71/12*10*$F71*$G71*$H71*$N71)</f>
        <v>0</v>
      </c>
      <c r="BC71" s="123"/>
      <c r="BD71" s="123">
        <f>(BC71/12*2*$E71*$G71*$H71*$N71)+(BC71/12*10*$F71*$G71*$H71*$N71)</f>
        <v>0</v>
      </c>
      <c r="BE71" s="123"/>
      <c r="BF71" s="123">
        <f>(BE71/12*10*$F71*$G71*$H71*$N71)</f>
        <v>0</v>
      </c>
      <c r="BG71" s="123"/>
      <c r="BH71" s="123">
        <f>(BG71/12*2*$E71*$G71*$H71*$N71)+(BG71/12*10*$F71*$G71*$H71*$N71)</f>
        <v>0</v>
      </c>
      <c r="BI71" s="123"/>
      <c r="BJ71" s="123">
        <f>(BI71/12*2*$E71*$G71*$H71*$N71)+(BI71/12*10*$F71*$G71*$H71*$N71)</f>
        <v>0</v>
      </c>
      <c r="BK71" s="123"/>
      <c r="BL71" s="123">
        <f>(BK71/12*2*$E71*$G71*$H71*$N71)+(BK71/12*10*$F71*$G71*$H71*$N71)</f>
        <v>0</v>
      </c>
      <c r="BM71" s="123"/>
      <c r="BN71" s="123">
        <f>(BM71/12*2*$E71*$G71*$H71*$M71)+(BM71/12*10*$F71*$G71*$H71*$M71)</f>
        <v>0</v>
      </c>
      <c r="BO71" s="123"/>
      <c r="BP71" s="123">
        <f>(BO71/12*2*$E71*$G71*$H71*$M71)+(BO71/12*10*$F71*$G71*$H71*$M71)</f>
        <v>0</v>
      </c>
      <c r="BQ71" s="123"/>
      <c r="BR71" s="123">
        <f>(BQ71/12*2*$E71*$G71*$H71*$M71)+(BQ71/12*10*$F71*$G71*$H71*$M71)</f>
        <v>0</v>
      </c>
      <c r="BS71" s="123"/>
      <c r="BT71" s="123">
        <f>(BS71/12*2*$E71*$G71*$H71*$N71)+(BS71/12*10*$F71*$G71*$H71*$N71)</f>
        <v>0</v>
      </c>
      <c r="BU71" s="123"/>
      <c r="BV71" s="123">
        <f>(BU71/12*2*$E71*$G71*$H71*$M71)+(BU71/12*10*$F71*$G71*$H71*$M71)</f>
        <v>0</v>
      </c>
      <c r="BW71" s="123"/>
      <c r="BX71" s="123">
        <f>(BW71/12*2*$E71*$G71*$H71*$M71)+(BW71/12*10*$F71*$G71*$H71*$M71)</f>
        <v>0</v>
      </c>
      <c r="BY71" s="123"/>
      <c r="BZ71" s="123">
        <f>(BY71/12*2*$E71*$G71*$H71*$M71)+(BY71/12*10*$F71*$G71*$H71*$M71)</f>
        <v>0</v>
      </c>
      <c r="CA71" s="123"/>
      <c r="CB71" s="123">
        <f>(CA71/12*2*$E71*$G71*$H71*$M71)+(CA71/12*10*$F71*$G71*$H71*$M71)</f>
        <v>0</v>
      </c>
      <c r="CC71" s="123"/>
      <c r="CD71" s="123">
        <f>(CC71/12*2*$E71*$G71*$H71*$M71)+(CC71/12*10*$F71*$G71*$H71*$M71)</f>
        <v>0</v>
      </c>
      <c r="CE71" s="123"/>
      <c r="CF71" s="123">
        <f>(CE71/12*10*$F71*$G71*$H71*$N71)</f>
        <v>0</v>
      </c>
      <c r="CG71" s="132"/>
      <c r="CH71" s="123">
        <f>(CG71/12*2*$E71*$G71*$H71*$N71)+(CG71/12*10*$F71*$G71*$H71*$N71)</f>
        <v>0</v>
      </c>
      <c r="CI71" s="123"/>
      <c r="CJ71" s="127">
        <f>(CI71*$E71*$G71*$H71*$N71)</f>
        <v>0</v>
      </c>
      <c r="CK71" s="123"/>
      <c r="CL71" s="123">
        <f>(CK71/12*2*$E71*$G71*$H71*$N71)+(CK71/12*10*$F71*$G71*$H71*$N71)</f>
        <v>0</v>
      </c>
      <c r="CM71" s="130"/>
      <c r="CN71" s="123">
        <f>(CM71/12*2*$E71*$G71*$H71*$N71)+(CM71/12*10*$F71*$G71*$H71*$N71)</f>
        <v>0</v>
      </c>
      <c r="CO71" s="123"/>
      <c r="CP71" s="123">
        <f>(CO71/12*2*$E71*$G71*$H71*$N71)+(CO71/12*10*$F71*$G71*$H71*$N71)</f>
        <v>0</v>
      </c>
      <c r="CQ71" s="123"/>
      <c r="CR71" s="123">
        <f>(CQ71/12*2*$E71*$G71*$H71*$O71)+(CQ71/12*10*$F71*$G71*$H71*$O71)</f>
        <v>0</v>
      </c>
      <c r="CS71" s="123"/>
      <c r="CT71" s="127">
        <f>(CS71/12*2*$E71*$G71*$H71*$P71)+(CS71/12*10*$F71*$G71*$H71*$P71)</f>
        <v>0</v>
      </c>
      <c r="CU71" s="127"/>
      <c r="CV71" s="127"/>
      <c r="CW71" s="126">
        <f t="shared" si="42"/>
        <v>1</v>
      </c>
      <c r="CX71" s="126">
        <f t="shared" si="42"/>
        <v>96382.635999999984</v>
      </c>
    </row>
    <row r="72" spans="1:102" ht="30" customHeight="1" x14ac:dyDescent="0.25">
      <c r="A72" s="91"/>
      <c r="B72" s="116">
        <v>50</v>
      </c>
      <c r="C72" s="117" t="s">
        <v>232</v>
      </c>
      <c r="D72" s="161" t="s">
        <v>233</v>
      </c>
      <c r="E72" s="95">
        <v>28004</v>
      </c>
      <c r="F72" s="96">
        <v>29405</v>
      </c>
      <c r="G72" s="119">
        <v>4.28</v>
      </c>
      <c r="H72" s="107">
        <v>1</v>
      </c>
      <c r="I72" s="108"/>
      <c r="J72" s="108"/>
      <c r="K72" s="108"/>
      <c r="L72" s="63"/>
      <c r="M72" s="120">
        <v>1.4</v>
      </c>
      <c r="N72" s="120">
        <v>1.68</v>
      </c>
      <c r="O72" s="120">
        <v>2.23</v>
      </c>
      <c r="P72" s="121">
        <v>2.57</v>
      </c>
      <c r="Q72" s="122"/>
      <c r="R72" s="123">
        <f>(Q72/12*2*$E72*$G72*$H72*$M72)+(Q72/12*10*$F72*$G72*$H72*$M72)</f>
        <v>0</v>
      </c>
      <c r="S72" s="124"/>
      <c r="T72" s="125">
        <f>(S72/12*2*$E72*$G72*$H72*$M72)+(S72/12*10*$F72*$G72*$H72*$M72)</f>
        <v>0</v>
      </c>
      <c r="U72" s="123">
        <v>11</v>
      </c>
      <c r="V72" s="123">
        <f>(U72/12*2*$E72*$G72*$H72*$M72)+(U72/12*10*$F72*$G72*$H72*$M72)</f>
        <v>1922751.9079999998</v>
      </c>
      <c r="W72" s="123"/>
      <c r="X72" s="123">
        <f>(W72/12*2*$E72*$G72*$H72*$M72)+(W72/12*10*$F72*$G72*$H72*$M72)</f>
        <v>0</v>
      </c>
      <c r="Y72" s="123"/>
      <c r="Z72" s="123">
        <f>(Y72/12*2*$E72*$G72*$H72*$M72)+(Y72/12*10*$F72*$G72*$H72*$M72)</f>
        <v>0</v>
      </c>
      <c r="AA72" s="123"/>
      <c r="AB72" s="123">
        <f>(AA72/12*2*$E72*$G72*$H72*$M72)+(AA72/12*10*$F72*$G72*$H72*$M72)</f>
        <v>0</v>
      </c>
      <c r="AC72" s="123"/>
      <c r="AD72" s="123"/>
      <c r="AE72" s="123"/>
      <c r="AF72" s="123">
        <f>(AE72/12*2*$E72*$G72*$H72*$M72)+(AE72/12*10*$F72*$G72*$H72*$M72)</f>
        <v>0</v>
      </c>
      <c r="AG72" s="123">
        <v>0</v>
      </c>
      <c r="AH72" s="123">
        <f>(AG72/12*2*$E72*$G72*$H72*$M72)+(AG72/12*10*$F72*$G72*$H72*$M72)</f>
        <v>0</v>
      </c>
      <c r="AI72" s="123"/>
      <c r="AJ72" s="123">
        <f>(AI72/12*2*$E72*$G72*$H72*$M72)+(AI72/12*10*$F72*$G72*$H72*$M72)</f>
        <v>0</v>
      </c>
      <c r="AK72" s="123"/>
      <c r="AL72" s="126">
        <f>(AK72/12*2*$E72*$G72*$H72*$N72)+(AK72/12*10*$F72*$G72*$H72*$N72)</f>
        <v>0</v>
      </c>
      <c r="AM72" s="132"/>
      <c r="AN72" s="123">
        <f>(AM72/12*2*$E72*$G72*$H72*$N72)+(AM72/12*10*$F72*$G72*$H72*$N72)</f>
        <v>0</v>
      </c>
      <c r="AO72" s="130"/>
      <c r="AP72" s="123">
        <f>(AO72/12*2*$E72*$G72*$H72*$N72)+(AO72/12*10*$F72*$G72*$H72*$N72)</f>
        <v>0</v>
      </c>
      <c r="AQ72" s="123">
        <v>0</v>
      </c>
      <c r="AR72" s="123">
        <v>0</v>
      </c>
      <c r="AS72" s="123"/>
      <c r="AT72" s="123"/>
      <c r="AU72" s="123"/>
      <c r="AV72" s="123"/>
      <c r="AW72" s="123"/>
      <c r="AX72" s="123">
        <f>(AW72/12*2*$E72*$G72*$H72*$M72)+(AW72/12*10*$F72*$G72*$H72*$M72)</f>
        <v>0</v>
      </c>
      <c r="AY72" s="123"/>
      <c r="AZ72" s="123">
        <f>(AY72/12*2*$E72*$G72*$H72*$N72)+(AY72/12*10*$F72*$G72*$H72*$N72)</f>
        <v>0</v>
      </c>
      <c r="BA72" s="123"/>
      <c r="BB72" s="123">
        <f>(BA72/12*2*$E72*$G72*$H72*$N72)+(BA72/12*10*$F72*$G72*$H72*$N72)</f>
        <v>0</v>
      </c>
      <c r="BC72" s="123"/>
      <c r="BD72" s="123">
        <f>(BC72/12*2*$E72*$G72*$H72*$N72)+(BC72/12*10*$F72*$G72*$H72*$N72)</f>
        <v>0</v>
      </c>
      <c r="BE72" s="123"/>
      <c r="BF72" s="123">
        <f>(BE72/12*10*$F72*$G72*$H72*$N72)</f>
        <v>0</v>
      </c>
      <c r="BG72" s="123"/>
      <c r="BH72" s="123">
        <f>(BG72/12*2*$E72*$G72*$H72*$N72)+(BG72/12*10*$F72*$G72*$H72*$N72)</f>
        <v>0</v>
      </c>
      <c r="BI72" s="123"/>
      <c r="BJ72" s="123">
        <f>(BI72/12*2*$E72*$G72*$H72*$N72)+(BI72/12*10*$F72*$G72*$H72*$N72)</f>
        <v>0</v>
      </c>
      <c r="BK72" s="123"/>
      <c r="BL72" s="123">
        <f>(BK72/12*2*$E72*$G72*$H72*$N72)+(BK72/12*10*$F72*$G72*$H72*$N72)</f>
        <v>0</v>
      </c>
      <c r="BM72" s="123"/>
      <c r="BN72" s="123">
        <f>(BM72/12*2*$E72*$G72*$H72*$M72)+(BM72/12*10*$F72*$G72*$H72*$M72)</f>
        <v>0</v>
      </c>
      <c r="BO72" s="123"/>
      <c r="BP72" s="123">
        <f>(BO72/12*2*$E72*$G72*$H72*$M72)+(BO72/12*10*$F72*$G72*$H72*$M72)</f>
        <v>0</v>
      </c>
      <c r="BQ72" s="123"/>
      <c r="BR72" s="123">
        <f>(BQ72/12*2*$E72*$G72*$H72*$M72)+(BQ72/12*10*$F72*$G72*$H72*$M72)</f>
        <v>0</v>
      </c>
      <c r="BS72" s="123"/>
      <c r="BT72" s="123">
        <f>(BS72/12*2*$E72*$G72*$H72*$N72)+(BS72/12*10*$F72*$G72*$H72*$N72)</f>
        <v>0</v>
      </c>
      <c r="BU72" s="123"/>
      <c r="BV72" s="123">
        <f>(BU72/12*2*$E72*$G72*$H72*$M72)+(BU72/12*10*$F72*$G72*$H72*$M72)</f>
        <v>0</v>
      </c>
      <c r="BW72" s="123"/>
      <c r="BX72" s="123">
        <f>(BW72/12*2*$E72*$G72*$H72*$M72)+(BW72/12*10*$F72*$G72*$H72*$M72)</f>
        <v>0</v>
      </c>
      <c r="BY72" s="123"/>
      <c r="BZ72" s="123">
        <f>(BY72/12*2*$E72*$G72*$H72*$M72)+(BY72/12*10*$F72*$G72*$H72*$M72)</f>
        <v>0</v>
      </c>
      <c r="CA72" s="123"/>
      <c r="CB72" s="123">
        <f>(CA72/12*2*$E72*$G72*$H72*$M72)+(CA72/12*10*$F72*$G72*$H72*$M72)</f>
        <v>0</v>
      </c>
      <c r="CC72" s="123"/>
      <c r="CD72" s="123">
        <f>(CC72/12*2*$E72*$G72*$H72*$M72)+(CC72/12*10*$F72*$G72*$H72*$M72)</f>
        <v>0</v>
      </c>
      <c r="CE72" s="123"/>
      <c r="CF72" s="123">
        <f>(CE72/12*10*$F72*$G72*$H72*$N72)</f>
        <v>0</v>
      </c>
      <c r="CG72" s="132"/>
      <c r="CH72" s="123">
        <f>(CG72/12*2*$E72*$G72*$H72*$N72)+(CG72/12*10*$F72*$G72*$H72*$N72)</f>
        <v>0</v>
      </c>
      <c r="CI72" s="123"/>
      <c r="CJ72" s="127">
        <f>(CI72*$E72*$G72*$H72*$N72)</f>
        <v>0</v>
      </c>
      <c r="CK72" s="123"/>
      <c r="CL72" s="123">
        <f>(CK72/12*2*$E72*$G72*$H72*$N72)+(CK72/12*10*$F72*$G72*$H72*$N72)</f>
        <v>0</v>
      </c>
      <c r="CM72" s="130"/>
      <c r="CN72" s="123">
        <f>(CM72/12*2*$E72*$G72*$H72*$N72)+(CM72/12*10*$F72*$G72*$H72*$N72)</f>
        <v>0</v>
      </c>
      <c r="CO72" s="123"/>
      <c r="CP72" s="123">
        <f>(CO72/12*2*$E72*$G72*$H72*$N72)+(CO72/12*10*$F72*$G72*$H72*$N72)</f>
        <v>0</v>
      </c>
      <c r="CQ72" s="123"/>
      <c r="CR72" s="123">
        <f>(CQ72/12*2*$E72*$G72*$H72*$O72)+(CQ72/12*10*$F72*$G72*$H72*$O72)</f>
        <v>0</v>
      </c>
      <c r="CS72" s="123"/>
      <c r="CT72" s="127">
        <f>(CS72/12*2*$E72*$G72*$H72*$P72)+(CS72/12*10*$F72*$G72*$H72*$P72)</f>
        <v>0</v>
      </c>
      <c r="CU72" s="127"/>
      <c r="CV72" s="127"/>
      <c r="CW72" s="126">
        <f t="shared" si="42"/>
        <v>11</v>
      </c>
      <c r="CX72" s="126">
        <f t="shared" si="42"/>
        <v>1922751.9079999998</v>
      </c>
    </row>
    <row r="73" spans="1:102" ht="30" customHeight="1" x14ac:dyDescent="0.25">
      <c r="A73" s="91"/>
      <c r="B73" s="116">
        <v>51</v>
      </c>
      <c r="C73" s="147" t="s">
        <v>234</v>
      </c>
      <c r="D73" s="148" t="s">
        <v>235</v>
      </c>
      <c r="E73" s="95">
        <v>28004</v>
      </c>
      <c r="F73" s="96">
        <v>29405</v>
      </c>
      <c r="G73" s="162">
        <v>4.4000000000000004</v>
      </c>
      <c r="H73" s="107">
        <v>1</v>
      </c>
      <c r="I73" s="108"/>
      <c r="J73" s="108"/>
      <c r="K73" s="108"/>
      <c r="L73" s="163">
        <v>0.1623</v>
      </c>
      <c r="M73" s="120">
        <v>1.4</v>
      </c>
      <c r="N73" s="120">
        <v>1.68</v>
      </c>
      <c r="O73" s="120">
        <v>2.23</v>
      </c>
      <c r="P73" s="121">
        <v>2.57</v>
      </c>
      <c r="Q73" s="122"/>
      <c r="R73" s="143">
        <f>(Q73/12*2*$E73*$G73*((1-$L73)+$L73*$M73*$R$11*$H73))+(Q73/12*10*$F73*$G73*((1-$L73)+$L73*$M73*$R$11*$H73))</f>
        <v>0</v>
      </c>
      <c r="S73" s="124"/>
      <c r="T73" s="144">
        <f>(S73/12*2*$E73*$G73*((1-$L73)+$L73*$M73*$R$11*$H73))+(S73/12*10*$F73*$G73*((1-$L73)+$L73*$M73*$R$11*$H73))</f>
        <v>0</v>
      </c>
      <c r="U73" s="123">
        <v>187</v>
      </c>
      <c r="V73" s="143">
        <f>(U73/12*2*$E73*$G73*((1-$L73)+$L73*$M73*V$11*$H73))+(U73/12*10*$F73*$G73*((1-$L73)+$L73*$M73*V$12*$H73))</f>
        <v>27421377.022188608</v>
      </c>
      <c r="W73" s="123"/>
      <c r="X73" s="143">
        <f>(W73/12*2*$E73*$G73*((1-$L73)+$L73*$M73*$X$11*$H73))+(W73/12*10*$F73*$G73*((1-$L73)+$L73*$M73*$X$12*$H73))</f>
        <v>0</v>
      </c>
      <c r="Y73" s="123"/>
      <c r="Z73" s="143">
        <f>(Y73/12*2*$E73*$G73*((1-$L73)+$L73*$M73*$Z$11*$H73))+(Y73/12*10*$F73*$G73*((1-$L73)+$L73*$M73*$Z$12*$H73))</f>
        <v>0</v>
      </c>
      <c r="AA73" s="123"/>
      <c r="AB73" s="143">
        <f>(AA73/12*2*$E73*$G73*((1-$L73)+$L73*$M73*$AB$11*$H73))+(AA73/12*10*$F73*$G73*((1-$L73)+$L73*$M73*$AB$11*$H73))</f>
        <v>0</v>
      </c>
      <c r="AC73" s="123"/>
      <c r="AD73" s="123"/>
      <c r="AE73" s="123"/>
      <c r="AF73" s="143">
        <f>(AE73/12*2*$E73*$G73*((1-$L73)+$L73*$M73*AF$11*$H73))+(AE73/12*10*$F73*$G73*((1-$L73)+$L73*$M73*AF$11*$H73))</f>
        <v>0</v>
      </c>
      <c r="AG73" s="123">
        <v>0</v>
      </c>
      <c r="AH73" s="143">
        <f>(AG73/12*2*$E73*$G73*((1-$L73)+$L73*$H73*AH$11*$M73))+(AG73/12*10*$F73*$G73*((1-$L73)+$L73*$H73*AH$11*$M73))</f>
        <v>0</v>
      </c>
      <c r="AI73" s="123"/>
      <c r="AJ73" s="143">
        <f>(AI73/12*2*$E73*$G73*((1-$L73)+$L73*$H73*AJ$11*$M73))+(AI73/12*5*$F73*$G73*((1-$L73)+$L73*$H73*AJ$12*$M73))+(AI73/12*5*$F73*$G73*((1-$L73)+$L73*$H73*AJ$13*$M73))</f>
        <v>0</v>
      </c>
      <c r="AK73" s="123"/>
      <c r="AL73" s="143">
        <f>(AK73/12*2*$E73*$G73*((1-$L73)+$L73*$H73*AL$11*$N73))+(AK73/12*4*$F73*$G73*((1-$L73)+$L73*$H73*AL$12*$N73))+(AK73/12*6*$F73*$G73*((1-$L73)+$L73*$H73*AL$13*$N73))</f>
        <v>0</v>
      </c>
      <c r="AM73" s="132"/>
      <c r="AN73" s="143">
        <f>(AM73/12*2*$E73*$G73*((1-$L73)+$L73*$N73*$AN$11*H73))+(AM73/12*10*$F73*$G73*((1-$L73)+$L73*$N73*$AN$12*H73))</f>
        <v>0</v>
      </c>
      <c r="AO73" s="130"/>
      <c r="AP73" s="143">
        <f>(AO73/12*2*$E73*$G73*((1-$L73)+$L73*$H73*AP$11*$N73))+(AO73/12*10*$F73*$G73*((1-$L73)+$L73*$H73*AP$11*$N73))</f>
        <v>0</v>
      </c>
      <c r="AQ73" s="143">
        <v>0</v>
      </c>
      <c r="AR73" s="143">
        <v>0</v>
      </c>
      <c r="AS73" s="123"/>
      <c r="AT73" s="123"/>
      <c r="AU73" s="123"/>
      <c r="AV73" s="123"/>
      <c r="AW73" s="123"/>
      <c r="AX73" s="143">
        <f>(AW73/12*2*$E73*$G73*((1-$L73)+$L73*$H73*AX$11*$M73))+(AW73/12*10*$F73*$G73*((1-$L73)+$L73*$H73*AX$12*$M73))</f>
        <v>0</v>
      </c>
      <c r="AY73" s="131"/>
      <c r="AZ73" s="143">
        <f>(AY73/12*2*$E73*$G73*((1-$L73)+$L73*$N73*$H73*$AZ$11))+(AY73/12*10*$F73*$G73*((1-$L73)+$L73*$N73*$H73*$AZ$11))</f>
        <v>0</v>
      </c>
      <c r="BA73" s="123"/>
      <c r="BB73" s="143">
        <f>(BA73/12*2*$E73*$G73*((1-$L73)+$L73*$H73*BB$11*$N73))+(BA73/12*10*$F73*$G73*((1-$L73)+$L73*$H73*BB$12*$N73))</f>
        <v>0</v>
      </c>
      <c r="BC73" s="123"/>
      <c r="BD73" s="146">
        <f>(BC73/12*2*$E73*$G73*$H73*$N73*$BD$11)+(BC73/12*10*$F73*$G73*$H73*$N73*$BD$12)</f>
        <v>0</v>
      </c>
      <c r="BE73" s="123"/>
      <c r="BF73" s="143">
        <f>(BE73/12*2*$E73*$G73*((1-$L73)+$L73*$H73*BF$11*$N73))+(BE73/12*10*$F73*$G73*((1-$L73)+$L73*$H73*BF$12*$N73))</f>
        <v>0</v>
      </c>
      <c r="BG73" s="123"/>
      <c r="BH73" s="143">
        <f>(BG73/12*2*$E73*$G73*((1-$L73)+$L73*$H73*BH$11*$N73))+(BG73/12*10*$F73*$G73*((1-$L73)+$L73*$H73*BH$11*$N73))</f>
        <v>0</v>
      </c>
      <c r="BI73" s="123"/>
      <c r="BJ73" s="143">
        <f>(BI73/12*2*$E73*$G73*((1-$L73)+$L73*$H73*BJ$11*$N73))+(BI73/12*10*$F73*$G73*((1-$L73)+$L73*$H73*BJ$11*$N73))</f>
        <v>0</v>
      </c>
      <c r="BK73" s="123"/>
      <c r="BL73" s="143">
        <f>(BK73/12*2*$E73*$G73*((1-$L73)+$L73*$H73*BL$11*$N73))+(BK73/12*10*$F73*$G73*((1-$L73)+$L73*$H73*BL$11*$N73))</f>
        <v>0</v>
      </c>
      <c r="BM73" s="123"/>
      <c r="BN73" s="143">
        <f>(BM73/12*2*$E73*$G73*((1-$L73)+$L73*$H73*BN$11*$M73))+(BM73/12*10*$F73*$G73*((1-$L73)+$L73*$H73*BN$11*$M73))</f>
        <v>0</v>
      </c>
      <c r="BO73" s="123"/>
      <c r="BP73" s="143">
        <f>(BO73/12*2*$E73*$G73*((1-$L73)+$L73*$H73*BP$11*$M73))+(BO73/12*10*$F73*$G73*((1-$L73)+$L73*$H73*BP$12*$M73))</f>
        <v>0</v>
      </c>
      <c r="BQ73" s="123"/>
      <c r="BR73" s="123"/>
      <c r="BS73" s="123"/>
      <c r="BT73" s="143">
        <f>(BS73/12*2*$E73*$G73*((1-$L73)+$L73*$H73*BT$11*$N73))+(BS73/12*10*$F73*$G73*((1-$L73)+$L73*$H73*BT$11*$N73))</f>
        <v>0</v>
      </c>
      <c r="BU73" s="123"/>
      <c r="BV73" s="123"/>
      <c r="BW73" s="123"/>
      <c r="BX73" s="143">
        <f>(BW73/12*2*$E73*$G73*((1-$L73)+$L73*$H73*BX$11*$M73))+(BW73/12*10*$F73*$G73*((1-$L73)+$L73*$H73*BX$11*$M73))</f>
        <v>0</v>
      </c>
      <c r="BY73" s="123"/>
      <c r="BZ73" s="143">
        <f>(BY73/12*2*$E73*$G73*((1-$L73)+$L73*$H73*BZ$11*$M73))+(BY73/12*10*$F73*$G73*((1-$L73)+$L73*$H73*BZ$11*$M73))</f>
        <v>0</v>
      </c>
      <c r="CA73" s="123"/>
      <c r="CB73" s="143">
        <f>(CA73/12*2*$E73*$G73*((1-$L73)+$L73*$H73*CB$11*$M73))+(CA73/12*10*$F73*$G73*((1-$L73)+$L73*$H73*CB$11*$M73))</f>
        <v>0</v>
      </c>
      <c r="CC73" s="123"/>
      <c r="CD73" s="146">
        <f>(CC73/12*2*$E73*$G73*((1-$L73)+$L73*$M73*$CD$11*$H73))+(CC73/12*10*$F73*$G73*((1-$L73)+$L73*$M73*$CD$11*$H73))</f>
        <v>0</v>
      </c>
      <c r="CE73" s="123"/>
      <c r="CF73" s="143">
        <f>(CE73/12*10*$F73*$G73*((1-$L73)+$L73*$H73*CF$11*$N73))</f>
        <v>0</v>
      </c>
      <c r="CG73" s="132"/>
      <c r="CH73" s="143">
        <f>(CG73/12*2*$E73*$G73*((1-$L73)+$L73*$H73*CH$11*$N73))+(CG73/12*10*$F73*$G73*((1-$L73)+$L73*$H73*CH$11*$N73))</f>
        <v>0</v>
      </c>
      <c r="CI73" s="123"/>
      <c r="CJ73" s="127"/>
      <c r="CK73" s="123"/>
      <c r="CL73" s="123"/>
      <c r="CM73" s="130"/>
      <c r="CN73" s="143">
        <f>((CM73/12*2*$E73*$G73*((1-$L73)+$L73*$H73*CN$11*$N73)))+((CM73/12*10*$F73*$G73*((1-$L73)+$L73*$H73*CN$11*$N73)))</f>
        <v>0</v>
      </c>
      <c r="CO73" s="123"/>
      <c r="CP73" s="143">
        <f>(CO73/12*2*$E73*$G73*((1-$L73)+$L73*$H73*CP$11*$N73))+(CO73/12*10*$F73*$G73*((1-$L73)+$L73*$H73*CP$11*$N73))</f>
        <v>0</v>
      </c>
      <c r="CQ73" s="123"/>
      <c r="CR73" s="143">
        <f>(CQ73/12*2*$E73*$G73*((1-$L73)+$L73*$H73*CR$11*$O73))+(CQ73/12*10*$F73*$G73*((1-$L73)+$L73*$H73*CR$11*$O73))</f>
        <v>0</v>
      </c>
      <c r="CS73" s="123"/>
      <c r="CT73" s="143">
        <f>(CS73/12*2*$E73*$G73*((1-$L73)+$L73*$H73*CT$11*$P73))+(CS73/12*10*$F73*$G73*((1-$L73)+$L73*$H73*CT$11*$P73))</f>
        <v>0</v>
      </c>
      <c r="CU73" s="127"/>
      <c r="CV73" s="127"/>
      <c r="CW73" s="126">
        <f>SUM(Q73,S73,U73,W73,Y73,AA73,AC73,AE73,AG73,AM73,BQ73,AI73,AU73,CC73,AW73,AY73,AK73,BC73,AO73,AQ73,BE73,CE73,BG73,BI73,BK73,BS73,BM73,BO73,BU73,BW73,BY73,CA73,CG73,BA73,AS73,CI73,CK73,CM73,CO73,CQ73,CS73,CU73)</f>
        <v>187</v>
      </c>
      <c r="CX73" s="126">
        <f>SUM(R73,T73,V73,X73,Z73,AB73,AD73,AF73,AH73,AN73,BR73,AJ73,AV73,CD73,AX73,AZ73,AL73,BD73,AP73,AR73,BF73,CF73,BH73,BJ73,BL73,BT73,BN73,BP73,BV73,BX73,BZ73,CB73,CH73,BB73,AT73,CJ73,CL73,CN73,CP73,CR73,CT73,CV73)</f>
        <v>27421377.022188608</v>
      </c>
    </row>
    <row r="74" spans="1:102" ht="15.75" customHeight="1" x14ac:dyDescent="0.25">
      <c r="A74" s="109">
        <v>10</v>
      </c>
      <c r="B74" s="150"/>
      <c r="C74" s="93" t="s">
        <v>236</v>
      </c>
      <c r="D74" s="164" t="s">
        <v>237</v>
      </c>
      <c r="E74" s="95">
        <v>28004</v>
      </c>
      <c r="F74" s="96">
        <v>29405</v>
      </c>
      <c r="G74" s="151">
        <v>1.1000000000000001</v>
      </c>
      <c r="H74" s="107"/>
      <c r="I74" s="108"/>
      <c r="J74" s="108"/>
      <c r="K74" s="108"/>
      <c r="L74" s="111"/>
      <c r="M74" s="112">
        <v>1.4</v>
      </c>
      <c r="N74" s="112">
        <v>1.68</v>
      </c>
      <c r="O74" s="112">
        <v>2.23</v>
      </c>
      <c r="P74" s="113">
        <v>2.57</v>
      </c>
      <c r="Q74" s="103">
        <f>SUM(Q75:Q81)</f>
        <v>0</v>
      </c>
      <c r="R74" s="104">
        <f>SUM(R75:R81)</f>
        <v>0</v>
      </c>
      <c r="S74" s="114">
        <f t="shared" ref="S74:CD74" si="45">SUM(S75:S81)</f>
        <v>0</v>
      </c>
      <c r="T74" s="115">
        <f t="shared" si="45"/>
        <v>0</v>
      </c>
      <c r="U74" s="104">
        <f t="shared" si="45"/>
        <v>565</v>
      </c>
      <c r="V74" s="104">
        <f t="shared" si="45"/>
        <v>35722534.511638463</v>
      </c>
      <c r="W74" s="104">
        <f t="shared" si="45"/>
        <v>25</v>
      </c>
      <c r="X74" s="104">
        <f t="shared" si="45"/>
        <v>5545173.4797083326</v>
      </c>
      <c r="Y74" s="104">
        <f t="shared" si="45"/>
        <v>0</v>
      </c>
      <c r="Z74" s="104">
        <f t="shared" si="45"/>
        <v>0</v>
      </c>
      <c r="AA74" s="104">
        <f t="shared" si="45"/>
        <v>0</v>
      </c>
      <c r="AB74" s="104">
        <f t="shared" si="45"/>
        <v>0</v>
      </c>
      <c r="AC74" s="104">
        <f t="shared" si="45"/>
        <v>0</v>
      </c>
      <c r="AD74" s="104">
        <f t="shared" si="45"/>
        <v>0</v>
      </c>
      <c r="AE74" s="104">
        <f t="shared" si="45"/>
        <v>0</v>
      </c>
      <c r="AF74" s="104">
        <f t="shared" si="45"/>
        <v>0</v>
      </c>
      <c r="AG74" s="104">
        <f t="shared" si="45"/>
        <v>0</v>
      </c>
      <c r="AH74" s="104">
        <f t="shared" si="45"/>
        <v>0</v>
      </c>
      <c r="AI74" s="104">
        <f t="shared" si="45"/>
        <v>0</v>
      </c>
      <c r="AJ74" s="104">
        <f t="shared" si="45"/>
        <v>0</v>
      </c>
      <c r="AK74" s="104">
        <f t="shared" si="45"/>
        <v>211</v>
      </c>
      <c r="AL74" s="104">
        <f t="shared" si="45"/>
        <v>11720970.4465</v>
      </c>
      <c r="AM74" s="104">
        <f t="shared" si="45"/>
        <v>0</v>
      </c>
      <c r="AN74" s="104">
        <f t="shared" si="45"/>
        <v>0</v>
      </c>
      <c r="AO74" s="106">
        <f t="shared" si="45"/>
        <v>0</v>
      </c>
      <c r="AP74" s="104">
        <f t="shared" si="45"/>
        <v>0</v>
      </c>
      <c r="AQ74" s="104">
        <v>0</v>
      </c>
      <c r="AR74" s="104">
        <v>0</v>
      </c>
      <c r="AS74" s="104">
        <f t="shared" si="45"/>
        <v>0</v>
      </c>
      <c r="AT74" s="104">
        <f t="shared" si="45"/>
        <v>0</v>
      </c>
      <c r="AU74" s="104">
        <f t="shared" si="45"/>
        <v>0</v>
      </c>
      <c r="AV74" s="104">
        <f t="shared" si="45"/>
        <v>0</v>
      </c>
      <c r="AW74" s="104">
        <f t="shared" si="45"/>
        <v>25</v>
      </c>
      <c r="AX74" s="104">
        <f t="shared" si="45"/>
        <v>786171.92500000005</v>
      </c>
      <c r="AY74" s="104">
        <f t="shared" si="45"/>
        <v>48</v>
      </c>
      <c r="AZ74" s="104">
        <f t="shared" si="45"/>
        <v>2220810.9153999998</v>
      </c>
      <c r="BA74" s="104">
        <f t="shared" si="45"/>
        <v>0</v>
      </c>
      <c r="BB74" s="104">
        <f t="shared" si="45"/>
        <v>0</v>
      </c>
      <c r="BC74" s="104">
        <f t="shared" si="45"/>
        <v>0</v>
      </c>
      <c r="BD74" s="104">
        <f t="shared" si="45"/>
        <v>0</v>
      </c>
      <c r="BE74" s="104">
        <f t="shared" si="45"/>
        <v>12</v>
      </c>
      <c r="BF74" s="104">
        <f t="shared" si="45"/>
        <v>486799.77500000002</v>
      </c>
      <c r="BG74" s="104">
        <f t="shared" si="45"/>
        <v>0</v>
      </c>
      <c r="BH74" s="104">
        <f t="shared" si="45"/>
        <v>0</v>
      </c>
      <c r="BI74" s="104">
        <f t="shared" si="45"/>
        <v>12</v>
      </c>
      <c r="BJ74" s="104">
        <f t="shared" si="45"/>
        <v>474398.60159999994</v>
      </c>
      <c r="BK74" s="104">
        <f t="shared" si="45"/>
        <v>22</v>
      </c>
      <c r="BL74" s="104">
        <f t="shared" si="45"/>
        <v>840979.33920000005</v>
      </c>
      <c r="BM74" s="104">
        <f t="shared" si="45"/>
        <v>0</v>
      </c>
      <c r="BN74" s="104">
        <f t="shared" si="45"/>
        <v>0</v>
      </c>
      <c r="BO74" s="104">
        <f t="shared" si="45"/>
        <v>0</v>
      </c>
      <c r="BP74" s="104">
        <f t="shared" si="45"/>
        <v>0</v>
      </c>
      <c r="BQ74" s="104">
        <f t="shared" si="45"/>
        <v>0</v>
      </c>
      <c r="BR74" s="104">
        <f t="shared" si="45"/>
        <v>0</v>
      </c>
      <c r="BS74" s="104">
        <f t="shared" si="45"/>
        <v>6</v>
      </c>
      <c r="BT74" s="104">
        <f t="shared" si="45"/>
        <v>231808.40760000001</v>
      </c>
      <c r="BU74" s="104">
        <f t="shared" si="45"/>
        <v>0</v>
      </c>
      <c r="BV74" s="104">
        <f t="shared" si="45"/>
        <v>0</v>
      </c>
      <c r="BW74" s="104">
        <f t="shared" si="45"/>
        <v>0</v>
      </c>
      <c r="BX74" s="104">
        <f t="shared" si="45"/>
        <v>0</v>
      </c>
      <c r="BY74" s="104">
        <f t="shared" si="45"/>
        <v>28</v>
      </c>
      <c r="BZ74" s="104">
        <f t="shared" si="45"/>
        <v>925436.66599999997</v>
      </c>
      <c r="CA74" s="104">
        <f t="shared" si="45"/>
        <v>6</v>
      </c>
      <c r="CB74" s="104">
        <f t="shared" si="45"/>
        <v>193173.67300000001</v>
      </c>
      <c r="CC74" s="104">
        <f t="shared" si="45"/>
        <v>17</v>
      </c>
      <c r="CD74" s="104">
        <f t="shared" si="45"/>
        <v>534596.90899999999</v>
      </c>
      <c r="CE74" s="104">
        <f t="shared" ref="CE74:CX74" si="46">SUM(CE75:CE81)</f>
        <v>18</v>
      </c>
      <c r="CF74" s="104">
        <f t="shared" si="46"/>
        <v>889824.70499999996</v>
      </c>
      <c r="CG74" s="104">
        <f t="shared" si="46"/>
        <v>0</v>
      </c>
      <c r="CH74" s="104">
        <f t="shared" si="46"/>
        <v>0</v>
      </c>
      <c r="CI74" s="104">
        <f t="shared" si="46"/>
        <v>0</v>
      </c>
      <c r="CJ74" s="104">
        <f t="shared" si="46"/>
        <v>0</v>
      </c>
      <c r="CK74" s="104">
        <f t="shared" si="46"/>
        <v>0</v>
      </c>
      <c r="CL74" s="104">
        <f t="shared" si="46"/>
        <v>0</v>
      </c>
      <c r="CM74" s="104">
        <f t="shared" si="46"/>
        <v>0</v>
      </c>
      <c r="CN74" s="104">
        <f t="shared" si="46"/>
        <v>0</v>
      </c>
      <c r="CO74" s="104">
        <f t="shared" si="46"/>
        <v>0</v>
      </c>
      <c r="CP74" s="104">
        <f t="shared" si="46"/>
        <v>0</v>
      </c>
      <c r="CQ74" s="104">
        <f t="shared" si="46"/>
        <v>0</v>
      </c>
      <c r="CR74" s="104">
        <f t="shared" si="46"/>
        <v>0</v>
      </c>
      <c r="CS74" s="104">
        <f t="shared" si="46"/>
        <v>0</v>
      </c>
      <c r="CT74" s="104">
        <f t="shared" si="46"/>
        <v>0</v>
      </c>
      <c r="CU74" s="104">
        <f t="shared" si="46"/>
        <v>0</v>
      </c>
      <c r="CV74" s="104">
        <f t="shared" si="46"/>
        <v>0</v>
      </c>
      <c r="CW74" s="104">
        <f t="shared" si="46"/>
        <v>995</v>
      </c>
      <c r="CX74" s="104">
        <f t="shared" si="46"/>
        <v>60572679.354646802</v>
      </c>
    </row>
    <row r="75" spans="1:102" x14ac:dyDescent="0.25">
      <c r="A75" s="91"/>
      <c r="B75" s="116">
        <v>52</v>
      </c>
      <c r="C75" s="117" t="s">
        <v>238</v>
      </c>
      <c r="D75" s="161" t="s">
        <v>239</v>
      </c>
      <c r="E75" s="95">
        <v>28004</v>
      </c>
      <c r="F75" s="96">
        <v>29405</v>
      </c>
      <c r="G75" s="119">
        <v>2.95</v>
      </c>
      <c r="H75" s="107">
        <v>1</v>
      </c>
      <c r="I75" s="153">
        <v>1.1000000000000001</v>
      </c>
      <c r="J75" s="108"/>
      <c r="K75" s="108"/>
      <c r="L75" s="63"/>
      <c r="M75" s="120">
        <v>1.4</v>
      </c>
      <c r="N75" s="120">
        <v>1.68</v>
      </c>
      <c r="O75" s="120">
        <v>2.23</v>
      </c>
      <c r="P75" s="121">
        <v>2.57</v>
      </c>
      <c r="Q75" s="122"/>
      <c r="R75" s="123">
        <f>(Q75/12*2*$E75*$G75*$H75*$M75*$R$11)+(Q75/12*10*$F75*$G75*$I75*$M75*$R$11)</f>
        <v>0</v>
      </c>
      <c r="S75" s="124"/>
      <c r="T75" s="125">
        <f>(S75/12*2*$E75*$G75*$H75*$M75*$R$11)+(S75/12*10*$F75*$G75*$I75*$M75*$R$11)</f>
        <v>0</v>
      </c>
      <c r="U75" s="123">
        <v>100</v>
      </c>
      <c r="V75" s="123">
        <f>(U75/12*2*$E75*$G75*$H75*$M75*$V$11)+(U75/12*10*$F75*$G75*$I75*$M75*$V$12)</f>
        <v>17504535.212500002</v>
      </c>
      <c r="W75" s="123">
        <v>15</v>
      </c>
      <c r="X75" s="126">
        <f>(W75/12*2*$E75*$G75*$H75*$M75*$X$11)+(W75/12*10*$F75*$G75*$I75*$M75*$X$12)</f>
        <v>2625680.2818749999</v>
      </c>
      <c r="Y75" s="123"/>
      <c r="Z75" s="123">
        <f>(Y75/12*2*$E75*$G75*$H75*$M75*$Z$11)+(Y75/12*10*$F75*$G75*$I75*$M75*$Z$12)</f>
        <v>0</v>
      </c>
      <c r="AA75" s="123"/>
      <c r="AB75" s="123">
        <f>(AA75/12*2*$E75*$G75*$H75*$M75*$AB$11)+(AA75/12*10*$F75*$G75*$I75*$M75*$AB$11)</f>
        <v>0</v>
      </c>
      <c r="AC75" s="123"/>
      <c r="AD75" s="123"/>
      <c r="AE75" s="123"/>
      <c r="AF75" s="123">
        <f>(AE75/12*2*$E75*$G75*$H75*$M75*$AF$11)+(AE75/12*10*$F75*$G75*$I75*$M75*$AF$11)</f>
        <v>0</v>
      </c>
      <c r="AG75" s="123"/>
      <c r="AH75" s="126">
        <f>(AG75/12*2*$E75*$G75*$H75*$M75*$AH$11)+(AG75/12*10*$F75*$G75*$I75*$M75*$AH$11)</f>
        <v>0</v>
      </c>
      <c r="AI75" s="123"/>
      <c r="AJ75" s="123">
        <f t="shared" ref="AJ75:AJ76" si="47">(AI75/12*2*$E75*$G75*$H75*$M75*$AJ$11)+(AI75/12*5*$F75*$G75*$I75*$M75*$AJ$12)+(AI75/12*5*$F75*$G75*$I75*$M75*$AJ$13)</f>
        <v>0</v>
      </c>
      <c r="AK75" s="123">
        <v>20</v>
      </c>
      <c r="AL75" s="123">
        <f t="shared" ref="AL75:AL76" si="48">(AK75/12*2*$E75*$G75*$H75*$N75*$AL$11)+(AK75/12*5*$F75*$G75*$I75*$N75*$AL$12)+(AK75/12*5*$F75*$G75*$I75*$N75*$AL$13)</f>
        <v>4047956.3110000007</v>
      </c>
      <c r="AM75" s="132"/>
      <c r="AN75" s="123">
        <f>(AM75/12*2*$E75*$G75*$H75*$N75*$AN$11)+(AM75/12*10*$F75*$G75*$I75*$N75*$AN$12)</f>
        <v>0</v>
      </c>
      <c r="AO75" s="130"/>
      <c r="AP75" s="127">
        <f>(AO75/12*2*$E75*$G75*$H75*$N75*$AP$11)+(AO75/12*10*$F75*$G75*$I75*$N75*$AP$11)</f>
        <v>0</v>
      </c>
      <c r="AQ75" s="127">
        <v>0</v>
      </c>
      <c r="AR75" s="127">
        <v>0</v>
      </c>
      <c r="AS75" s="123"/>
      <c r="AT75" s="123"/>
      <c r="AU75" s="123"/>
      <c r="AV75" s="126"/>
      <c r="AW75" s="123"/>
      <c r="AX75" s="123">
        <f>(AW75/12*2*$E75*$G75*$H75*$M75*$AX$11)+(AW75/12*10*$F75*$G75*$I75*$M75*$AX$12)</f>
        <v>0</v>
      </c>
      <c r="AY75" s="123">
        <v>2</v>
      </c>
      <c r="AZ75" s="123">
        <f>(AY75/12*2*$E75*$G75*$H75*$N75*$AZ$11)+(AY75/12*10*$F75*$G75*$I75*$N75*$AZ$11)</f>
        <v>344780.08179999999</v>
      </c>
      <c r="BA75" s="123"/>
      <c r="BB75" s="123">
        <f>(BA75/12*2*$E75*$G75*$H75*$N75*$BB$11)+(BA75/12*10*$F75*$G75*$I75*$N75*$BB$12)</f>
        <v>0</v>
      </c>
      <c r="BC75" s="123"/>
      <c r="BD75" s="126"/>
      <c r="BE75" s="123">
        <v>1</v>
      </c>
      <c r="BF75" s="123">
        <f>(BE75/12*10*$F75*$G75*$I75*$N75*$BF$12)</f>
        <v>133586.91499999998</v>
      </c>
      <c r="BG75" s="123"/>
      <c r="BH75" s="123">
        <f>(BG75/12*2*$E75*$G75*$H75*$N75*$BH$11)+(BG75/12*10*$F75*$G75*$I75*$N75*$BH$11)</f>
        <v>0</v>
      </c>
      <c r="BI75" s="123"/>
      <c r="BJ75" s="126">
        <f>(BI75/12*2*$E75*$G75*$H75*$N75*$BJ$11)+(BI75/12*10*$F75*$G75*$I75*$N75*$BJ$11)</f>
        <v>0</v>
      </c>
      <c r="BK75" s="123"/>
      <c r="BL75" s="127">
        <f>(BK75/12*2*$E75*$G75*$H75*$N75*$BL$11)+(BK75/12*10*$F75*$G75*$I75*$N75*$BL$11)</f>
        <v>0</v>
      </c>
      <c r="BM75" s="123"/>
      <c r="BN75" s="123">
        <f>(BM75/12*2*$E75*$G75*$H75*$M75*$BN$11)+(BM75/12*10*$F75*$G75*$I75*$M75*$BN$11)</f>
        <v>0</v>
      </c>
      <c r="BO75" s="123"/>
      <c r="BP75" s="123">
        <f>(BO75/12*2*$E75*$G75*$H75*$M75*$BP$11)+(BO75/12*10*$F75*$G75*$I75*$M75*$BP$12)</f>
        <v>0</v>
      </c>
      <c r="BQ75" s="123"/>
      <c r="BR75" s="123">
        <f>(BQ75/12*2*$E75*$G75*$H75*$M75*$BR$11)+(BQ75/12*10*$F75*$G75*$I75*$M75*$BR$11)</f>
        <v>0</v>
      </c>
      <c r="BS75" s="123"/>
      <c r="BT75" s="123">
        <f>(BS75/12*2*$E75*$G75*$H75*$N75*$BT$11)+(BS75/12*10*$F75*$G75*$I75*$N75*$BT$11)</f>
        <v>0</v>
      </c>
      <c r="BU75" s="123"/>
      <c r="BV75" s="126">
        <f>(BU75/12*2*$E75*$G75*$H75*$M75*$BV$11)+(BU75/12*10*$F75*$G75*$I75*$M75*$BV$11)</f>
        <v>0</v>
      </c>
      <c r="BW75" s="123"/>
      <c r="BX75" s="123">
        <f>(BW75/12*2*$E75*$G75*$H75*$M75*$BX$11)+(BW75/12*10*$F75*$G75*$I75*$M75*$BX$11)</f>
        <v>0</v>
      </c>
      <c r="BY75" s="123"/>
      <c r="BZ75" s="123">
        <f>(BY75/12*2*$E75*$G75*$H75*$M75*$BZ$11)+(BY75/12*10*$F75*$G75*$I75*$M75*$BZ$11)</f>
        <v>0</v>
      </c>
      <c r="CA75" s="123"/>
      <c r="CB75" s="123">
        <f>(CA75/12*2*$E75*$G75*$H75*$M75*$CB$11)+(CA75/12*10*$F75*$G75*$I75*$M75*$CB$11)</f>
        <v>0</v>
      </c>
      <c r="CC75" s="123"/>
      <c r="CD75" s="123">
        <f>(CC75/12*2*$E75*$G75*$H75*$M75*$CD$11)+(CC75/12*10*$F75*$G75*$I75*$M75*$CD$11)</f>
        <v>0</v>
      </c>
      <c r="CE75" s="123">
        <v>3</v>
      </c>
      <c r="CF75" s="123">
        <f>(CE75/12*10*$F75*$G75*$I75*$N75*$CF$11)</f>
        <v>400760.74500000005</v>
      </c>
      <c r="CG75" s="132"/>
      <c r="CH75" s="123">
        <f>(CG75/12*2*$E75*$G75*$H75*$N75*$CH$11)+(CG75/12*10*$F75*$G75*$I75*$N75*$CH$11)</f>
        <v>0</v>
      </c>
      <c r="CI75" s="123"/>
      <c r="CJ75" s="127"/>
      <c r="CK75" s="123"/>
      <c r="CL75" s="123">
        <f>(CK75/12*2*$E75*$G75*$H75*$N75*$CL$11)+(CK75/12*10*$F75*$G75*$I75*$N75*$CL$12)</f>
        <v>0</v>
      </c>
      <c r="CM75" s="130"/>
      <c r="CN75" s="123">
        <f>(CM75/12*2*$E75*$G75*$H75*$N75*$CN$11)+(CM75/12*10*$F75*$G75*$I75*$N75*$CN$11)</f>
        <v>0</v>
      </c>
      <c r="CO75" s="123"/>
      <c r="CP75" s="123">
        <f>(CO75/12*2*$E75*$G75*$H75*$N75*$CP$11)+(CO75/12*10*$F75*$G75*$I75*$N75*$CP$11)</f>
        <v>0</v>
      </c>
      <c r="CQ75" s="123"/>
      <c r="CR75" s="123">
        <f>(CQ75/12*2*$E75*$G75*$H75*$O75*$CR$11)+(CQ75/12*10*$F75*$G75*$I75*$O75*$CR$11)</f>
        <v>0</v>
      </c>
      <c r="CS75" s="123"/>
      <c r="CT75" s="133">
        <f>(CS75/12*2*$E75*$G75*$H75*$P75*$CT$11)+(CS75/12*10*$F75*$G75*$I75*$P75*$CT$11)</f>
        <v>0</v>
      </c>
      <c r="CU75" s="127"/>
      <c r="CV75" s="127"/>
      <c r="CW75" s="126">
        <f t="shared" ref="CW75:CX81" si="49">SUM(Q75,S75,U75,W75,Y75,AA75,AC75,AE75,AG75,AM75,BQ75,AI75,AU75,CC75,AW75,AY75,AK75,BC75,AO75,AQ75,BE75,CE75,BG75,BI75,BK75,BS75,BM75,BO75,BU75,BW75,BY75,CA75,CG75,BA75,AS75,CI75,CK75,CM75,CO75,CQ75,CS75,CU75)</f>
        <v>141</v>
      </c>
      <c r="CX75" s="126">
        <f t="shared" si="49"/>
        <v>25057299.547175001</v>
      </c>
    </row>
    <row r="76" spans="1:102" x14ac:dyDescent="0.25">
      <c r="A76" s="91"/>
      <c r="B76" s="116">
        <v>53</v>
      </c>
      <c r="C76" s="117" t="s">
        <v>240</v>
      </c>
      <c r="D76" s="161" t="s">
        <v>241</v>
      </c>
      <c r="E76" s="95">
        <v>28004</v>
      </c>
      <c r="F76" s="96">
        <v>29405</v>
      </c>
      <c r="G76" s="119">
        <v>5.33</v>
      </c>
      <c r="H76" s="107">
        <v>1</v>
      </c>
      <c r="I76" s="153">
        <v>1</v>
      </c>
      <c r="J76" s="108"/>
      <c r="K76" s="108"/>
      <c r="L76" s="63"/>
      <c r="M76" s="120">
        <v>1.4</v>
      </c>
      <c r="N76" s="120">
        <v>1.68</v>
      </c>
      <c r="O76" s="120">
        <v>2.23</v>
      </c>
      <c r="P76" s="121">
        <v>2.57</v>
      </c>
      <c r="Q76" s="122"/>
      <c r="R76" s="123">
        <f>(Q76/12*2*$E76*$G76*$H76*$M76*$R$11)+(Q76/12*10*$F76*$G76*$I76*$M76*$R$11)</f>
        <v>0</v>
      </c>
      <c r="S76" s="124"/>
      <c r="T76" s="125">
        <f>(S76/12*2*$E76*$G76*$H76*$M76*$R$11)+(S76/12*10*$F76*$G76*$I76*$M76*$R$11)</f>
        <v>0</v>
      </c>
      <c r="U76" s="123"/>
      <c r="V76" s="123">
        <f>(U76/12*2*$E76*$G76*$H76*$M76*$V$11)+(U76/12*10*$F76*$G76*$I76*$M76*$V$12)</f>
        <v>0</v>
      </c>
      <c r="W76" s="123">
        <v>10</v>
      </c>
      <c r="X76" s="126">
        <f>(W76/12*2*$E76*$G76*$H76*$M76*$X$11)+(W76/12*10*$F76*$G76*$I76*$M76*$X$12)</f>
        <v>2919493.1978333332</v>
      </c>
      <c r="Y76" s="123"/>
      <c r="Z76" s="123">
        <f>(Y76/12*2*$E76*$G76*$H76*$M76*$Z$11)+(Y76/12*10*$F76*$G76*$I76*$M76*$Z$12)</f>
        <v>0</v>
      </c>
      <c r="AA76" s="123"/>
      <c r="AB76" s="123">
        <f>(AA76/12*2*$E76*$G76*$H76*$M76*$AB$11)+(AA76/12*10*$F76*$G76*$I76*$M76*$AB$11)</f>
        <v>0</v>
      </c>
      <c r="AC76" s="123"/>
      <c r="AD76" s="123"/>
      <c r="AE76" s="123"/>
      <c r="AF76" s="123">
        <f>(AE76/12*2*$E76*$G76*$H76*$M76*$AF$11)+(AE76/12*10*$F76*$G76*$I76*$M76*$AF$11)</f>
        <v>0</v>
      </c>
      <c r="AG76" s="123"/>
      <c r="AH76" s="126">
        <f>(AG76/12*2*$E76*$G76*$H76*$M76*$AH$11)+(AG76/12*10*$F76*$G76*$I76*$M76*$AH$11)</f>
        <v>0</v>
      </c>
      <c r="AI76" s="123"/>
      <c r="AJ76" s="123">
        <f t="shared" si="47"/>
        <v>0</v>
      </c>
      <c r="AK76" s="123"/>
      <c r="AL76" s="123">
        <f t="shared" si="48"/>
        <v>0</v>
      </c>
      <c r="AM76" s="132"/>
      <c r="AN76" s="123">
        <f>(AM76/12*2*$E76*$G76*$H76*$N76*$AN$11)+(AM76/12*10*$F76*$G76*$I76*$N76*$AN$12)</f>
        <v>0</v>
      </c>
      <c r="AO76" s="130"/>
      <c r="AP76" s="127">
        <f>(AO76/12*2*$E76*$G76*$H76*$N76*$AP$11)+(AO76/12*10*$F76*$G76*$I76*$N76*$AP$11)</f>
        <v>0</v>
      </c>
      <c r="AQ76" s="127">
        <v>0</v>
      </c>
      <c r="AR76" s="127">
        <v>0</v>
      </c>
      <c r="AS76" s="123"/>
      <c r="AT76" s="123"/>
      <c r="AU76" s="123"/>
      <c r="AV76" s="126"/>
      <c r="AW76" s="123"/>
      <c r="AX76" s="123">
        <f>(AW76/12*2*$E76*$G76*$H76*$M76*$AX$11)+(AW76/12*10*$F76*$G76*$I76*$M76*$AX$12)</f>
        <v>0</v>
      </c>
      <c r="AY76" s="123">
        <v>0</v>
      </c>
      <c r="AZ76" s="123">
        <f>(AY76/12*2*$E76*$G76*$H76*$N76*$AZ$11)+(AY76/12*10*$F76*$G76*$I76*$N76*$AZ$11)</f>
        <v>0</v>
      </c>
      <c r="BA76" s="123"/>
      <c r="BB76" s="123">
        <f>(BA76/12*2*$E76*$G76*$H76*$N76*$BB$11)+(BA76/12*10*$F76*$G76*$I76*$N76*$BB$12)</f>
        <v>0</v>
      </c>
      <c r="BC76" s="123"/>
      <c r="BD76" s="126"/>
      <c r="BE76" s="123"/>
      <c r="BF76" s="123">
        <f>(BE76/12*10*$F76*$G76*$I76*$N76*$BF$12)</f>
        <v>0</v>
      </c>
      <c r="BG76" s="123"/>
      <c r="BH76" s="123">
        <f>(BG76/12*2*$E76*$G76*$H76*$N76*$BH$11)+(BG76/12*10*$F76*$G76*$I76*$N76*$BH$11)</f>
        <v>0</v>
      </c>
      <c r="BI76" s="123"/>
      <c r="BJ76" s="126">
        <f>(BI76/12*2*$E76*$G76*$H76*$N76*$BJ$11)+(BI76/12*10*$F76*$G76*$I76*$N76*$BJ$11)</f>
        <v>0</v>
      </c>
      <c r="BK76" s="123"/>
      <c r="BL76" s="127">
        <f>(BK76/12*2*$E76*$G76*$H76*$N76*$BL$11)+(BK76/12*10*$F76*$G76*$I76*$N76*$BL$11)</f>
        <v>0</v>
      </c>
      <c r="BM76" s="123"/>
      <c r="BN76" s="123">
        <f>(BM76/12*2*$E76*$G76*$H76*$M76*$BN$11)+(BM76/12*10*$F76*$G76*$I76*$M76*$BN$11)</f>
        <v>0</v>
      </c>
      <c r="BO76" s="123"/>
      <c r="BP76" s="123">
        <f>(BO76/12*2*$E76*$G76*$H76*$M76*$BP$11)+(BO76/12*10*$F76*$G76*$I76*$M76*$BP$12)</f>
        <v>0</v>
      </c>
      <c r="BQ76" s="123"/>
      <c r="BR76" s="123">
        <f>(BQ76/12*2*$E76*$G76*$H76*$M76*$BR$11)+(BQ76/12*10*$F76*$G76*$I76*$M76*$BR$11)</f>
        <v>0</v>
      </c>
      <c r="BS76" s="123"/>
      <c r="BT76" s="123">
        <f>(BS76/12*2*$E76*$G76*$H76*$N76*$BT$11)+(BS76/12*10*$F76*$G76*$I76*$N76*$BT$11)</f>
        <v>0</v>
      </c>
      <c r="BU76" s="123"/>
      <c r="BV76" s="126">
        <f>(BU76/12*2*$E76*$G76*$H76*$M76*$BV$11)+(BU76/12*10*$F76*$G76*$I76*$M76*$BV$11)</f>
        <v>0</v>
      </c>
      <c r="BW76" s="123"/>
      <c r="BX76" s="123">
        <f>(BW76/12*2*$E76*$G76*$H76*$M76*$BX$11)+(BW76/12*10*$F76*$G76*$I76*$M76*$BX$11)</f>
        <v>0</v>
      </c>
      <c r="BY76" s="123"/>
      <c r="BZ76" s="123">
        <f>(BY76/12*2*$E76*$G76*$H76*$M76*$BZ$11)+(BY76/12*10*$F76*$G76*$I76*$M76*$BZ$11)</f>
        <v>0</v>
      </c>
      <c r="CA76" s="123"/>
      <c r="CB76" s="123">
        <f>(CA76/12*2*$E76*$G76*$H76*$M76*$CB$11)+(CA76/12*10*$F76*$G76*$I76*$M76*$CB$11)</f>
        <v>0</v>
      </c>
      <c r="CC76" s="123"/>
      <c r="CD76" s="123">
        <f>(CC76/12*2*$E76*$G76*$H76*$M76*$CD$11)+(CC76/12*10*$F76*$G76*$I76*$M76*$CD$11)</f>
        <v>0</v>
      </c>
      <c r="CE76" s="123"/>
      <c r="CF76" s="123">
        <f>(CE76/12*10*$F76*$G76*$I76*$N76*$CF$11)</f>
        <v>0</v>
      </c>
      <c r="CG76" s="132"/>
      <c r="CH76" s="123">
        <f>(CG76/12*2*$E76*$G76*$H76*$N76*$CH$11)+(CG76/12*10*$F76*$G76*$I76*$N76*$CH$11)</f>
        <v>0</v>
      </c>
      <c r="CI76" s="123"/>
      <c r="CJ76" s="127"/>
      <c r="CK76" s="123"/>
      <c r="CL76" s="123">
        <f>(CK76/12*2*$E76*$G76*$H76*$N76*$CL$11)+(CK76/12*10*$F76*$G76*$I76*$N76*$CL$12)</f>
        <v>0</v>
      </c>
      <c r="CM76" s="130"/>
      <c r="CN76" s="123">
        <f>(CM76/12*2*$E76*$G76*$H76*$N76*$CN$11)+(CM76/12*10*$F76*$G76*$I76*$N76*$CN$11)</f>
        <v>0</v>
      </c>
      <c r="CO76" s="123"/>
      <c r="CP76" s="123">
        <f>(CO76/12*2*$E76*$G76*$H76*$N76*$CP$11)+(CO76/12*10*$F76*$G76*$I76*$N76*$CP$11)</f>
        <v>0</v>
      </c>
      <c r="CQ76" s="123"/>
      <c r="CR76" s="123">
        <f>(CQ76/12*2*$E76*$G76*$H76*$O76*$CR$11)+(CQ76/12*10*$F76*$G76*$I76*$O76*$CR$11)</f>
        <v>0</v>
      </c>
      <c r="CS76" s="123"/>
      <c r="CT76" s="133">
        <f>(CS76/12*2*$E76*$G76*$H76*$P76*$CT$11)+(CS76/12*10*$F76*$G76*$I76*$P76*$CT$11)</f>
        <v>0</v>
      </c>
      <c r="CU76" s="127"/>
      <c r="CV76" s="127"/>
      <c r="CW76" s="126">
        <f t="shared" si="49"/>
        <v>10</v>
      </c>
      <c r="CX76" s="126">
        <f t="shared" si="49"/>
        <v>2919493.1978333332</v>
      </c>
    </row>
    <row r="77" spans="1:102" x14ac:dyDescent="0.25">
      <c r="A77" s="91"/>
      <c r="B77" s="116">
        <v>54</v>
      </c>
      <c r="C77" s="117" t="s">
        <v>242</v>
      </c>
      <c r="D77" s="161" t="s">
        <v>243</v>
      </c>
      <c r="E77" s="95">
        <v>28004</v>
      </c>
      <c r="F77" s="96">
        <v>29405</v>
      </c>
      <c r="G77" s="119">
        <v>0.77</v>
      </c>
      <c r="H77" s="107">
        <v>1</v>
      </c>
      <c r="I77" s="108"/>
      <c r="J77" s="108"/>
      <c r="K77" s="108"/>
      <c r="L77" s="63"/>
      <c r="M77" s="120">
        <v>1.4</v>
      </c>
      <c r="N77" s="120">
        <v>1.68</v>
      </c>
      <c r="O77" s="120">
        <v>2.23</v>
      </c>
      <c r="P77" s="121">
        <v>2.57</v>
      </c>
      <c r="Q77" s="122"/>
      <c r="R77" s="123">
        <f>(Q77/12*2*$E77*$G77*$H77*$M77)+(Q77/12*10*$F77*$G77*$H77*$M77)</f>
        <v>0</v>
      </c>
      <c r="S77" s="124"/>
      <c r="T77" s="125">
        <f>(S77/12*2*$E77*$G77*$H77*$M77)+(S77/12*10*$F77*$G77*$H77*$M77)</f>
        <v>0</v>
      </c>
      <c r="U77" s="123">
        <f>223-16</f>
        <v>207</v>
      </c>
      <c r="V77" s="123">
        <f>(U77/12*2*$E77*$G77*$H77*$M77)+(U77/12*10*$F77*$G77*$H77*$M77)</f>
        <v>6509503.5389999989</v>
      </c>
      <c r="W77" s="123"/>
      <c r="X77" s="123">
        <f>(W77/12*2*$E77*$G77*$H77*$M77)+(W77/12*10*$F77*$G77*$H77*$M77)</f>
        <v>0</v>
      </c>
      <c r="Y77" s="123"/>
      <c r="Z77" s="123">
        <f>(Y77/12*2*$E77*$G77*$H77*$M77)+(Y77/12*10*$F77*$G77*$H77*$M77)</f>
        <v>0</v>
      </c>
      <c r="AA77" s="123"/>
      <c r="AB77" s="123">
        <f>(AA77/12*2*$E77*$G77*$H77*$M77)+(AA77/12*10*$F77*$G77*$H77*$M77)</f>
        <v>0</v>
      </c>
      <c r="AC77" s="123"/>
      <c r="AD77" s="123"/>
      <c r="AE77" s="123"/>
      <c r="AF77" s="123">
        <f>(AE77/12*2*$E77*$G77*$H77*$M77)+(AE77/12*10*$F77*$G77*$H77*$M77)</f>
        <v>0</v>
      </c>
      <c r="AG77" s="123"/>
      <c r="AH77" s="123">
        <f>(AG77/12*2*$E77*$G77*$H77*$M77)+(AG77/12*10*$F77*$G77*$H77*$M77)</f>
        <v>0</v>
      </c>
      <c r="AI77" s="123"/>
      <c r="AJ77" s="123">
        <f>(AI77/12*2*$E77*$G77*$H77*$M77)+(AI77/12*10*$F77*$G77*$H77*$M77)</f>
        <v>0</v>
      </c>
      <c r="AK77" s="123">
        <v>109</v>
      </c>
      <c r="AL77" s="126">
        <f>(AK77/12*2*$E77*$G77*$H77*$N77)+(AK77/12*10*$F77*$G77*$H77*$N77)</f>
        <v>4113251.5116000008</v>
      </c>
      <c r="AM77" s="132"/>
      <c r="AN77" s="123">
        <f>(AM77/12*2*$E77*$G77*$H77*$N77)+(AM77/12*10*$F77*$G77*$H77*$N77)</f>
        <v>0</v>
      </c>
      <c r="AO77" s="130"/>
      <c r="AP77" s="123">
        <f>(AO77/12*2*$E77*$G77*$H77*$N77)+(AO77/12*10*$F77*$G77*$H77*$N77)</f>
        <v>0</v>
      </c>
      <c r="AQ77" s="123">
        <v>0</v>
      </c>
      <c r="AR77" s="123">
        <v>0</v>
      </c>
      <c r="AS77" s="123"/>
      <c r="AT77" s="123"/>
      <c r="AU77" s="123"/>
      <c r="AV77" s="123"/>
      <c r="AW77" s="123">
        <v>25</v>
      </c>
      <c r="AX77" s="123">
        <f>(AW77/12*2*$E77*$G77*$H77*$M77)+(AW77/12*10*$F77*$G77*$H77*$M77)</f>
        <v>786171.92500000005</v>
      </c>
      <c r="AY77" s="123">
        <v>27</v>
      </c>
      <c r="AZ77" s="123">
        <f>(AY77/12*2*$E77*$G77*$H77*$N77)+(AY77/12*10*$F77*$G77*$H77*$N77)</f>
        <v>1018878.8147999999</v>
      </c>
      <c r="BA77" s="123"/>
      <c r="BB77" s="123">
        <f>(BA77/12*2*$E77*$G77*$H77*$N77)+(BA77/12*10*$F77*$G77*$H77*$N77)</f>
        <v>0</v>
      </c>
      <c r="BC77" s="123"/>
      <c r="BD77" s="123">
        <f>(BC77/12*2*$E77*$G77*$H77*$N77)+(BC77/12*10*$F77*$G77*$H77*$N77)</f>
        <v>0</v>
      </c>
      <c r="BE77" s="123">
        <v>10</v>
      </c>
      <c r="BF77" s="123">
        <f>(BE77/12*10*$F77*$G77*$H77*$N77)</f>
        <v>316985.90000000002</v>
      </c>
      <c r="BG77" s="123"/>
      <c r="BH77" s="123">
        <f>(BG77/12*2*$E77*$G77*$H77*$N77)+(BG77/12*10*$F77*$G77*$H77*$N77)</f>
        <v>0</v>
      </c>
      <c r="BI77" s="123">
        <v>8</v>
      </c>
      <c r="BJ77" s="123">
        <f>(BI77/12*2*$E77*$G77*$H77*$N77)+(BI77/12*10*$F77*$G77*$H77*$N77)</f>
        <v>301890.01919999998</v>
      </c>
      <c r="BK77" s="123">
        <v>20</v>
      </c>
      <c r="BL77" s="123">
        <f>(BK77/12*2*$E77*$G77*$H77*$N77)+(BK77/12*10*$F77*$G77*$H77*$N77)</f>
        <v>754725.04800000007</v>
      </c>
      <c r="BM77" s="123"/>
      <c r="BN77" s="123">
        <f>(BM77/12*2*$E77*$G77*$H77*$M77)+(BM77/12*10*$F77*$G77*$H77*$M77)</f>
        <v>0</v>
      </c>
      <c r="BO77" s="123"/>
      <c r="BP77" s="123">
        <f>(BO77/12*2*$E77*$G77*$H77*$M77)+(BO77/12*10*$F77*$G77*$H77*$M77)</f>
        <v>0</v>
      </c>
      <c r="BQ77" s="123"/>
      <c r="BR77" s="123">
        <f>(BQ77/12*2*$E77*$G77*$H77*$M77)+(BQ77/12*10*$F77*$G77*$H77*$M77)</f>
        <v>0</v>
      </c>
      <c r="BS77" s="123">
        <v>5</v>
      </c>
      <c r="BT77" s="123">
        <f>(BS77/12*2*$E77*$G77*$H77*$N77)+(BS77/12*10*$F77*$G77*$H77*$N77)</f>
        <v>188681.26200000002</v>
      </c>
      <c r="BU77" s="123"/>
      <c r="BV77" s="123">
        <f>(BU77/12*2*$E77*$G77*$H77*$M77)+(BU77/12*10*$F77*$G77*$H77*$M77)</f>
        <v>0</v>
      </c>
      <c r="BW77" s="123"/>
      <c r="BX77" s="123">
        <f>(BW77/12*2*$E77*$G77*$H77*$M77)+(BW77/12*10*$F77*$G77*$H77*$M77)</f>
        <v>0</v>
      </c>
      <c r="BY77" s="123">
        <v>18</v>
      </c>
      <c r="BZ77" s="123">
        <f>(BY77/12*2*$E77*$G77*$H77*$M77)+(BY77/12*10*$F77*$G77*$H77*$M77)</f>
        <v>566043.78599999996</v>
      </c>
      <c r="CA77" s="123">
        <v>5</v>
      </c>
      <c r="CB77" s="123">
        <f>(CA77/12*2*$E77*$G77*$H77*$M77)+(CA77/12*10*$F77*$G77*$H77*$M77)</f>
        <v>157234.38500000001</v>
      </c>
      <c r="CC77" s="123">
        <v>17</v>
      </c>
      <c r="CD77" s="123">
        <f>(CC77/12*2*$E77*$G77*$H77*$M77)+(CC77/12*10*$F77*$G77*$H77*$M77)</f>
        <v>534596.90899999999</v>
      </c>
      <c r="CE77" s="123">
        <v>12</v>
      </c>
      <c r="CF77" s="123">
        <f>(CE77/12*10*$F77*$G77*$H77*$N77)</f>
        <v>380383.07999999996</v>
      </c>
      <c r="CG77" s="132"/>
      <c r="CH77" s="123">
        <f>(CG77/12*2*$E77*$G77*$H77*$N77)+(CG77/12*10*$F77*$G77*$H77*$N77)</f>
        <v>0</v>
      </c>
      <c r="CI77" s="123"/>
      <c r="CJ77" s="127">
        <f>(CI77*$E77*$G77*$H77*$N77)</f>
        <v>0</v>
      </c>
      <c r="CK77" s="123"/>
      <c r="CL77" s="123">
        <f>(CK77/12*2*$E77*$G77*$H77*$N77)+(CK77/12*10*$F77*$G77*$H77*$N77)</f>
        <v>0</v>
      </c>
      <c r="CM77" s="130"/>
      <c r="CN77" s="123">
        <f>(CM77/12*2*$E77*$G77*$H77*$N77)+(CM77/12*10*$F77*$G77*$H77*$N77)</f>
        <v>0</v>
      </c>
      <c r="CO77" s="123"/>
      <c r="CP77" s="123">
        <f>(CO77/12*2*$E77*$G77*$H77*$N77)+(CO77/12*10*$F77*$G77*$H77*$N77)</f>
        <v>0</v>
      </c>
      <c r="CQ77" s="123"/>
      <c r="CR77" s="123">
        <f>(CQ77/12*2*$E77*$G77*$H77*$O77)+(CQ77/12*10*$F77*$G77*$H77*$O77)</f>
        <v>0</v>
      </c>
      <c r="CS77" s="123"/>
      <c r="CT77" s="127">
        <f>(CS77/12*2*$E77*$G77*$H77*$P77)+(CS77/12*10*$F77*$G77*$H77*$P77)</f>
        <v>0</v>
      </c>
      <c r="CU77" s="127"/>
      <c r="CV77" s="127"/>
      <c r="CW77" s="126">
        <f t="shared" si="49"/>
        <v>463</v>
      </c>
      <c r="CX77" s="126">
        <f t="shared" si="49"/>
        <v>15628346.179600002</v>
      </c>
    </row>
    <row r="78" spans="1:102" ht="30" x14ac:dyDescent="0.25">
      <c r="A78" s="91"/>
      <c r="B78" s="116">
        <v>55</v>
      </c>
      <c r="C78" s="117" t="s">
        <v>244</v>
      </c>
      <c r="D78" s="161" t="s">
        <v>245</v>
      </c>
      <c r="E78" s="95">
        <v>28004</v>
      </c>
      <c r="F78" s="96">
        <v>29405</v>
      </c>
      <c r="G78" s="119">
        <v>0.88</v>
      </c>
      <c r="H78" s="107">
        <v>1</v>
      </c>
      <c r="I78" s="108"/>
      <c r="J78" s="108"/>
      <c r="K78" s="108"/>
      <c r="L78" s="63"/>
      <c r="M78" s="120">
        <v>1.4</v>
      </c>
      <c r="N78" s="120">
        <v>1.68</v>
      </c>
      <c r="O78" s="120">
        <v>2.23</v>
      </c>
      <c r="P78" s="121">
        <v>2.57</v>
      </c>
      <c r="Q78" s="122"/>
      <c r="R78" s="123">
        <f>(Q78/12*2*$E78*$G78*$H78*$M78)+(Q78/12*10*$F78*$G78*$H78*$M78)</f>
        <v>0</v>
      </c>
      <c r="S78" s="124"/>
      <c r="T78" s="125">
        <f>(S78/12*2*$E78*$G78*$H78*$M78)+(S78/12*10*$F78*$G78*$H78*$M78)</f>
        <v>0</v>
      </c>
      <c r="U78" s="123">
        <v>200</v>
      </c>
      <c r="V78" s="123">
        <f>(U78/12*2*$E78*$G78*$H78*$M78)+(U78/12*10*$F78*$G78*$H78*$M78)</f>
        <v>7187857.6000000006</v>
      </c>
      <c r="W78" s="123"/>
      <c r="X78" s="123">
        <f>(W78/12*2*$E78*$G78*$H78*$M78)+(W78/12*10*$F78*$G78*$H78*$M78)</f>
        <v>0</v>
      </c>
      <c r="Y78" s="123"/>
      <c r="Z78" s="123">
        <f>(Y78/12*2*$E78*$G78*$H78*$M78)+(Y78/12*10*$F78*$G78*$H78*$M78)</f>
        <v>0</v>
      </c>
      <c r="AA78" s="123"/>
      <c r="AB78" s="123">
        <f>(AA78/12*2*$E78*$G78*$H78*$M78)+(AA78/12*10*$F78*$G78*$H78*$M78)</f>
        <v>0</v>
      </c>
      <c r="AC78" s="123"/>
      <c r="AD78" s="123"/>
      <c r="AE78" s="123"/>
      <c r="AF78" s="123">
        <f>(AE78/12*2*$E78*$G78*$H78*$M78)+(AE78/12*10*$F78*$G78*$H78*$M78)</f>
        <v>0</v>
      </c>
      <c r="AG78" s="123"/>
      <c r="AH78" s="123">
        <f>(AG78/12*2*$E78*$G78*$H78*$M78)+(AG78/12*10*$F78*$G78*$H78*$M78)</f>
        <v>0</v>
      </c>
      <c r="AI78" s="123"/>
      <c r="AJ78" s="123">
        <f>(AI78/12*2*$E78*$G78*$H78*$M78)+(AI78/12*10*$F78*$G78*$H78*$M78)</f>
        <v>0</v>
      </c>
      <c r="AK78" s="123">
        <v>81</v>
      </c>
      <c r="AL78" s="126">
        <f>(AK78/12*2*$E78*$G78*$H78*$N78)+(AK78/12*10*$F78*$G78*$H78*$N78)</f>
        <v>3493298.7935999995</v>
      </c>
      <c r="AM78" s="132"/>
      <c r="AN78" s="123">
        <f>(AM78/12*2*$E78*$G78*$H78*$N78)+(AM78/12*10*$F78*$G78*$H78*$N78)</f>
        <v>0</v>
      </c>
      <c r="AO78" s="130"/>
      <c r="AP78" s="123">
        <f>(AO78/12*2*$E78*$G78*$H78*$N78)+(AO78/12*10*$F78*$G78*$H78*$N78)</f>
        <v>0</v>
      </c>
      <c r="AQ78" s="123">
        <v>0</v>
      </c>
      <c r="AR78" s="123">
        <v>0</v>
      </c>
      <c r="AS78" s="123"/>
      <c r="AT78" s="123"/>
      <c r="AU78" s="123"/>
      <c r="AV78" s="123"/>
      <c r="AW78" s="123"/>
      <c r="AX78" s="123">
        <f>(AW78/12*2*$E78*$G78*$H78*$M78)+(AW78/12*10*$F78*$G78*$H78*$M78)</f>
        <v>0</v>
      </c>
      <c r="AY78" s="123">
        <v>17</v>
      </c>
      <c r="AZ78" s="123">
        <f>(AY78/12*2*$E78*$G78*$H78*$N78)+(AY78/12*10*$F78*$G78*$H78*$N78)</f>
        <v>733161.4752000001</v>
      </c>
      <c r="BA78" s="123"/>
      <c r="BB78" s="123">
        <f>(BA78/12*2*$E78*$G78*$H78*$N78)+(BA78/12*10*$F78*$G78*$H78*$N78)</f>
        <v>0</v>
      </c>
      <c r="BC78" s="123"/>
      <c r="BD78" s="123">
        <f>(BC78/12*2*$E78*$G78*$H78*$N78)+(BC78/12*10*$F78*$G78*$H78*$N78)</f>
        <v>0</v>
      </c>
      <c r="BE78" s="123">
        <v>1</v>
      </c>
      <c r="BF78" s="123">
        <f>(BE78/12*10*$F78*$G78*$H78*$N78)</f>
        <v>36226.959999999992</v>
      </c>
      <c r="BG78" s="123"/>
      <c r="BH78" s="123">
        <f>(BG78/12*2*$E78*$G78*$H78*$N78)+(BG78/12*10*$F78*$G78*$H78*$N78)</f>
        <v>0</v>
      </c>
      <c r="BI78" s="123">
        <v>4</v>
      </c>
      <c r="BJ78" s="123">
        <f>(BI78/12*2*$E78*$G78*$H78*$N78)+(BI78/12*10*$F78*$G78*$H78*$N78)</f>
        <v>172508.58239999996</v>
      </c>
      <c r="BK78" s="123">
        <v>2</v>
      </c>
      <c r="BL78" s="123">
        <f>(BK78/12*2*$E78*$G78*$H78*$N78)+(BK78/12*10*$F78*$G78*$H78*$N78)</f>
        <v>86254.291199999978</v>
      </c>
      <c r="BM78" s="123"/>
      <c r="BN78" s="123">
        <f>(BM78/12*2*$E78*$G78*$H78*$M78)+(BM78/12*10*$F78*$G78*$H78*$M78)</f>
        <v>0</v>
      </c>
      <c r="BO78" s="123"/>
      <c r="BP78" s="123">
        <f>(BO78/12*2*$E78*$G78*$H78*$M78)+(BO78/12*10*$F78*$G78*$H78*$M78)</f>
        <v>0</v>
      </c>
      <c r="BQ78" s="123"/>
      <c r="BR78" s="123">
        <f>(BQ78/12*2*$E78*$G78*$H78*$M78)+(BQ78/12*10*$F78*$G78*$H78*$M78)</f>
        <v>0</v>
      </c>
      <c r="BS78" s="123">
        <v>1</v>
      </c>
      <c r="BT78" s="123">
        <f>(BS78/12*2*$E78*$G78*$H78*$N78)+(BS78/12*10*$F78*$G78*$H78*$N78)</f>
        <v>43127.145599999989</v>
      </c>
      <c r="BU78" s="123"/>
      <c r="BV78" s="123">
        <f>(BU78/12*2*$E78*$G78*$H78*$M78)+(BU78/12*10*$F78*$G78*$H78*$M78)</f>
        <v>0</v>
      </c>
      <c r="BW78" s="123"/>
      <c r="BX78" s="123">
        <f>(BW78/12*2*$E78*$G78*$H78*$M78)+(BW78/12*10*$F78*$G78*$H78*$M78)</f>
        <v>0</v>
      </c>
      <c r="BY78" s="123">
        <v>10</v>
      </c>
      <c r="BZ78" s="123">
        <f>(BY78/12*2*$E78*$G78*$H78*$M78)+(BY78/12*10*$F78*$G78*$H78*$M78)</f>
        <v>359392.88</v>
      </c>
      <c r="CA78" s="123">
        <v>1</v>
      </c>
      <c r="CB78" s="123">
        <f>(CA78/12*2*$E78*$G78*$H78*$M78)+(CA78/12*10*$F78*$G78*$H78*$M78)</f>
        <v>35939.287999999993</v>
      </c>
      <c r="CC78" s="123"/>
      <c r="CD78" s="123">
        <f>(CC78/12*2*$E78*$G78*$H78*$M78)+(CC78/12*10*$F78*$G78*$H78*$M78)</f>
        <v>0</v>
      </c>
      <c r="CE78" s="123">
        <v>3</v>
      </c>
      <c r="CF78" s="123">
        <f>(CE78/12*10*$F78*$G78*$H78*$N78)</f>
        <v>108680.87999999999</v>
      </c>
      <c r="CG78" s="132"/>
      <c r="CH78" s="123">
        <f>(CG78/12*2*$E78*$G78*$H78*$N78)+(CG78/12*10*$F78*$G78*$H78*$N78)</f>
        <v>0</v>
      </c>
      <c r="CI78" s="123"/>
      <c r="CJ78" s="127">
        <f>(CI78*$E78*$G78*$H78*$N78)</f>
        <v>0</v>
      </c>
      <c r="CK78" s="123"/>
      <c r="CL78" s="123">
        <f>(CK78/12*2*$E78*$G78*$H78*$N78)+(CK78/12*10*$F78*$G78*$H78*$N78)</f>
        <v>0</v>
      </c>
      <c r="CM78" s="130"/>
      <c r="CN78" s="123">
        <f>(CM78/12*2*$E78*$G78*$H78*$N78)+(CM78/12*10*$F78*$G78*$H78*$N78)</f>
        <v>0</v>
      </c>
      <c r="CO78" s="123"/>
      <c r="CP78" s="123">
        <f>(CO78/12*2*$E78*$G78*$H78*$N78)+(CO78/12*10*$F78*$G78*$H78*$N78)</f>
        <v>0</v>
      </c>
      <c r="CQ78" s="123"/>
      <c r="CR78" s="123">
        <f>(CQ78/12*2*$E78*$G78*$H78*$O78)+(CQ78/12*10*$F78*$G78*$H78*$O78)</f>
        <v>0</v>
      </c>
      <c r="CS78" s="123"/>
      <c r="CT78" s="127">
        <f>(CS78/12*2*$E78*$G78*$H78*$P78)+(CS78/12*10*$F78*$G78*$H78*$P78)</f>
        <v>0</v>
      </c>
      <c r="CU78" s="127"/>
      <c r="CV78" s="127"/>
      <c r="CW78" s="126">
        <f t="shared" si="49"/>
        <v>320</v>
      </c>
      <c r="CX78" s="126">
        <f t="shared" si="49"/>
        <v>12256447.896000003</v>
      </c>
    </row>
    <row r="79" spans="1:102" ht="30" x14ac:dyDescent="0.25">
      <c r="A79" s="91"/>
      <c r="B79" s="116">
        <v>56</v>
      </c>
      <c r="C79" s="117" t="s">
        <v>246</v>
      </c>
      <c r="D79" s="161" t="s">
        <v>247</v>
      </c>
      <c r="E79" s="95">
        <v>28004</v>
      </c>
      <c r="F79" s="96">
        <v>29405</v>
      </c>
      <c r="G79" s="119">
        <v>1.05</v>
      </c>
      <c r="H79" s="107">
        <v>1</v>
      </c>
      <c r="I79" s="108"/>
      <c r="J79" s="108"/>
      <c r="K79" s="108"/>
      <c r="L79" s="63"/>
      <c r="M79" s="120">
        <v>1.4</v>
      </c>
      <c r="N79" s="120">
        <v>1.68</v>
      </c>
      <c r="O79" s="120">
        <v>2.23</v>
      </c>
      <c r="P79" s="121">
        <v>2.57</v>
      </c>
      <c r="Q79" s="122"/>
      <c r="R79" s="123">
        <f>(Q79/12*2*$E79*$G79*$H79*$M79*$R$11)+(Q79/12*10*$F79*$G79*$H79*$M79*$R$11)</f>
        <v>0</v>
      </c>
      <c r="S79" s="124"/>
      <c r="T79" s="125">
        <f>(S79/12*2*$E79*$G79*$H79*$M79*$R$11)+(S79/12*10*$F79*$G79*$H79*$M79*$R$11)</f>
        <v>0</v>
      </c>
      <c r="U79" s="123">
        <v>10</v>
      </c>
      <c r="V79" s="123">
        <f>(U79/12*2*$E79*$G79*$H79*$M79*$V$11)+(U79/12*10*$F79*$G79*$H79*$M79*$V$12)</f>
        <v>575134.6825</v>
      </c>
      <c r="W79" s="123"/>
      <c r="X79" s="126">
        <f>(W79/12*2*$E79*$G79*$H79*$M79*$X$11)+(W79/12*10*$F79*$G79*$H79*$M79*$X$12)</f>
        <v>0</v>
      </c>
      <c r="Y79" s="123"/>
      <c r="Z79" s="123">
        <f>(Y79/12*2*$E79*$G79*$H79*$M79*$Z$11)+(Y79/12*10*$F79*$G79*$H79*$M79*$Z$12)</f>
        <v>0</v>
      </c>
      <c r="AA79" s="123"/>
      <c r="AB79" s="123">
        <f>(AA79/12*2*$E79*$G79*$H79*$M79*$AB$11)+(AA79/12*10*$F79*$G79*$H79*$M79*$AB$11)</f>
        <v>0</v>
      </c>
      <c r="AC79" s="123"/>
      <c r="AD79" s="123"/>
      <c r="AE79" s="123"/>
      <c r="AF79" s="123">
        <f>(AE79/12*2*$E79*$G79*$H79*$M79*$AF$11)+(AE79/12*10*$F79*$G79*$H79*$M79*$AF$11)</f>
        <v>0</v>
      </c>
      <c r="AG79" s="123"/>
      <c r="AH79" s="126">
        <f>(AG79/12*2*$E79*$G79*$H79*$M79*$AH$11)+(AG79/12*10*$F79*$G79*$H79*$M79*$AH$11)</f>
        <v>0</v>
      </c>
      <c r="AI79" s="123"/>
      <c r="AJ79" s="123">
        <f t="shared" ref="AJ79:AJ80" si="50">(AI79/12*2*$E79*$G79*$H79*$M79*$AJ$11)+(AI79/12*5*$F79*$G79*$H79*$M79*$AJ$12)+(AI79/12*5*$F79*$G79*$H79*$M79*$AJ$13)</f>
        <v>0</v>
      </c>
      <c r="AK79" s="123">
        <v>1</v>
      </c>
      <c r="AL79" s="123">
        <f t="shared" ref="AL79:AL80" si="51">(AK79/12*2*$E79*$G79*$H79*$N79*$AL$11)+(AK79/12*5*$F79*$G79*$H79*$N79*$AL$12)++(AK79/12*5*$F79*$G79*$H79*$N79*$AL$13)</f>
        <v>66463.830300000001</v>
      </c>
      <c r="AM79" s="132"/>
      <c r="AN79" s="123">
        <f>(AM79/12*2*$E79*$G79*$H79*$N79*$AN$11)+(AM79/12*10*$F79*$G79*$H79*$N79*$AN$12)</f>
        <v>0</v>
      </c>
      <c r="AO79" s="130"/>
      <c r="AP79" s="127">
        <f>(AO79/12*2*$E79*$G79*$H79*$N79*$AP$11)+(AO79/12*10*$F79*$G79*$H79*$N79*$AP$11)</f>
        <v>0</v>
      </c>
      <c r="AQ79" s="127">
        <v>0</v>
      </c>
      <c r="AR79" s="127">
        <v>0</v>
      </c>
      <c r="AS79" s="123"/>
      <c r="AT79" s="123">
        <f>(AS79/12*2*$E79*$G79*$H79*$M79*$AT$11)+(AS79/12*10*$F79*$G79*$H79*$M79*$AT$11)</f>
        <v>0</v>
      </c>
      <c r="AU79" s="123"/>
      <c r="AV79" s="126">
        <f>(AU79/12*2*$E79*$G79*$H79*$M79*$AV$11)+(AU79/12*10*$F79*$G79*$H79*$M79*$AV$12)</f>
        <v>0</v>
      </c>
      <c r="AW79" s="123"/>
      <c r="AX79" s="123">
        <f>(AW79/12*2*$E79*$G79*$H79*$M79*$AX$11)+(AW79/12*10*$F79*$G79*$H79*$M79*$AX$12)</f>
        <v>0</v>
      </c>
      <c r="AY79" s="123">
        <v>1</v>
      </c>
      <c r="AZ79" s="123">
        <f>(AY79/12*2*$E79*$G79*$H79*$N79*$AZ$11)+(AY79/12*10*$F79*$G79*$H79*$N79*$AZ$11)</f>
        <v>56604.378600000004</v>
      </c>
      <c r="BA79" s="123"/>
      <c r="BB79" s="123">
        <f>(BA79/12*2*$E79*$G79*$H79*$N79*$BB$11)+(BA79/12*10*$F79*$G79*$H79*$N79*$BB$12)</f>
        <v>0</v>
      </c>
      <c r="BC79" s="123"/>
      <c r="BD79" s="126">
        <f>(BC79/12*2*$E79*$G79*$H79*$N79*$BD$11)+(BC79/12*10*$F79*$G79*$H79*$N79*$BD$12)</f>
        <v>0</v>
      </c>
      <c r="BE79" s="123"/>
      <c r="BF79" s="123">
        <f>(BE79/12*10*$F79*$G79*$H79*$N79*$BF$12)</f>
        <v>0</v>
      </c>
      <c r="BG79" s="123"/>
      <c r="BH79" s="123">
        <f>(BG79/12*2*$E79*$G79*$H79*$N79*$BH$11)+(BG79/12*10*$F79*$G79*$H79*$N79*$BH$11)</f>
        <v>0</v>
      </c>
      <c r="BI79" s="123"/>
      <c r="BJ79" s="126">
        <f>(BI79/12*2*$E79*$G79*$H79*$N79*$BJ$11)+(BI79/12*10*$F79*$G79*$H79*$N79*$BJ$11)</f>
        <v>0</v>
      </c>
      <c r="BK79" s="123"/>
      <c r="BL79" s="127">
        <f>(BK79/12*2*$E79*$G79*$H79*$N79*$BL$11)+(BK79/12*10*$F79*$G79*$H79*$N79*$BL$11)</f>
        <v>0</v>
      </c>
      <c r="BM79" s="123"/>
      <c r="BN79" s="123">
        <f>(BM79/12*2*$E79*$G79*$H79*$M79*$BN$11)+(BM79/12*10*$F79*$G79*$H79*$M79*$BN$11)</f>
        <v>0</v>
      </c>
      <c r="BO79" s="123"/>
      <c r="BP79" s="123">
        <f>(BO79/12*2*$E79*$G79*$H79*$M79*$BP$11)+(BO79/12*10*$F79*$G79*$H79*$M79*$BP$12)</f>
        <v>0</v>
      </c>
      <c r="BQ79" s="123"/>
      <c r="BR79" s="123">
        <f>(BQ79/12*2*$E79*$G79*$H79*$M79*$BR$11)+(BQ79/12*10*$F79*$G79*$H79*$M79*$BR$11)</f>
        <v>0</v>
      </c>
      <c r="BS79" s="123"/>
      <c r="BT79" s="123">
        <f>(BS79/12*2*$E79*$G79*$H79*$N79*$BT$11)+(BS79/12*10*$F79*$G79*$H79*$N79*$BT$11)</f>
        <v>0</v>
      </c>
      <c r="BU79" s="123"/>
      <c r="BV79" s="126">
        <f>(BU79/12*2*$E79*$G79*$H79*$M79*$BV$11)+(BU79/12*10*$F79*$G79*$H79*$M79*$BV$11)</f>
        <v>0</v>
      </c>
      <c r="BW79" s="123"/>
      <c r="BX79" s="123">
        <f>(BW79/12*2*$E79*$G79*$H79*$M79*$BX$11)+(BW79/12*10*$F79*$G79*$H79*$M79*$BX$11)</f>
        <v>0</v>
      </c>
      <c r="BY79" s="123"/>
      <c r="BZ79" s="123">
        <f>(BY79/12*2*$E79*$G79*$H79*$M79*$BZ$11)+(BY79/12*10*$F79*$G79*$H79*$M79*$BZ$11)</f>
        <v>0</v>
      </c>
      <c r="CA79" s="123"/>
      <c r="CB79" s="123">
        <f>(CA79/12*2*$E79*$G79*$H79*$M79*$CB$11)+(CA79/12*10*$F79*$G79*$H79*$M79*$CB$11)</f>
        <v>0</v>
      </c>
      <c r="CC79" s="123"/>
      <c r="CD79" s="123">
        <f>(CC79/12*2*$E79*$G79*$H79*$M79*$CD$11)+(CC79/12*10*$F79*$G79*$H79*$M79*$CD$11)</f>
        <v>0</v>
      </c>
      <c r="CE79" s="123"/>
      <c r="CF79" s="123">
        <f>(CE79/12*10*$F79*$G79*$H79*$N79*$CF$11)</f>
        <v>0</v>
      </c>
      <c r="CG79" s="132"/>
      <c r="CH79" s="123">
        <f>(CG79/12*2*$E79*$G79*$H79*$N79*$CH$11)+(CG79/12*10*$F79*$G79*$H79*$N79*$CH$11)</f>
        <v>0</v>
      </c>
      <c r="CI79" s="123"/>
      <c r="CJ79" s="127">
        <f>(CI79*$E79*$G79*$H79*$N79*CJ$11)</f>
        <v>0</v>
      </c>
      <c r="CK79" s="123"/>
      <c r="CL79" s="123">
        <f>(CK79/12*2*$E79*$G79*$H79*$N79*$CL$11)+(CK79/12*10*$F79*$G79*$H79*$N79*$CL$12)</f>
        <v>0</v>
      </c>
      <c r="CM79" s="130"/>
      <c r="CN79" s="123">
        <f>(CM79/12*2*$E79*$G79*$H79*$N79*$CN$11)+(CM79/12*10*$F79*$G79*$H79*$N79*$CN$11)</f>
        <v>0</v>
      </c>
      <c r="CO79" s="123"/>
      <c r="CP79" s="123">
        <f>(CO79/12*2*$E79*$G79*$H79*$N79*$CP$11)+(CO79/12*10*$F79*$G79*$H79*$N79*$CP$11)</f>
        <v>0</v>
      </c>
      <c r="CQ79" s="123"/>
      <c r="CR79" s="123">
        <f>(CQ79/12*2*$E79*$G79*$H79*$O79*$CR$11)+(CQ79/12*10*$F79*$G79*$H79*$O79*$CR$11)</f>
        <v>0</v>
      </c>
      <c r="CS79" s="123"/>
      <c r="CT79" s="133">
        <f>(CS79/12*2*$E79*$G79*$H79*$P79*$CT$11)+(CS79/12*10*$F79*$G79*$H79*$P79*$CT$11)</f>
        <v>0</v>
      </c>
      <c r="CU79" s="127"/>
      <c r="CV79" s="127"/>
      <c r="CW79" s="126">
        <f t="shared" si="49"/>
        <v>12</v>
      </c>
      <c r="CX79" s="126">
        <f t="shared" si="49"/>
        <v>698202.89140000008</v>
      </c>
    </row>
    <row r="80" spans="1:102" ht="30" x14ac:dyDescent="0.25">
      <c r="A80" s="91"/>
      <c r="B80" s="116">
        <v>57</v>
      </c>
      <c r="C80" s="117" t="s">
        <v>248</v>
      </c>
      <c r="D80" s="161" t="s">
        <v>249</v>
      </c>
      <c r="E80" s="95">
        <v>28004</v>
      </c>
      <c r="F80" s="96">
        <v>29405</v>
      </c>
      <c r="G80" s="119">
        <v>1.25</v>
      </c>
      <c r="H80" s="107">
        <v>1</v>
      </c>
      <c r="I80" s="108"/>
      <c r="J80" s="108"/>
      <c r="K80" s="108"/>
      <c r="L80" s="63"/>
      <c r="M80" s="120">
        <v>1.4</v>
      </c>
      <c r="N80" s="120">
        <v>1.68</v>
      </c>
      <c r="O80" s="120">
        <v>2.23</v>
      </c>
      <c r="P80" s="121">
        <v>2.57</v>
      </c>
      <c r="Q80" s="122"/>
      <c r="R80" s="123">
        <f>(Q80/12*2*$E80*$G80*$H80*$M80*$R$11)+(Q80/12*10*$F80*$G80*$H80*$M80*$R$11)</f>
        <v>0</v>
      </c>
      <c r="S80" s="124"/>
      <c r="T80" s="125">
        <f>(S80/12*2*$E80*$G80*$H80*$M80*$R$11)+(S80/12*10*$F80*$G80*$H80*$M80*$R$11)</f>
        <v>0</v>
      </c>
      <c r="U80" s="123">
        <v>10</v>
      </c>
      <c r="V80" s="123">
        <f>(U80/12*2*$E80*$G80*$H80*$M80*$V$11)+(U80/12*10*$F80*$G80*$H80*$M80*$V$12)</f>
        <v>684684.14583333337</v>
      </c>
      <c r="W80" s="123"/>
      <c r="X80" s="126">
        <f>(W80/12*2*$E80*$G80*$H80*$M80*$X$11)+(W80/12*10*$F80*$G80*$H80*$M80*$X$12)</f>
        <v>0</v>
      </c>
      <c r="Y80" s="123"/>
      <c r="Z80" s="123">
        <f>(Y80/12*2*$E80*$G80*$H80*$M80*$Z$11)+(Y80/12*10*$F80*$G80*$H80*$M80*$Z$12)</f>
        <v>0</v>
      </c>
      <c r="AA80" s="123"/>
      <c r="AB80" s="123">
        <f>(AA80/12*2*$E80*$G80*$H80*$M80*$AB$11)+(AA80/12*10*$F80*$G80*$H80*$M80*$AB$11)</f>
        <v>0</v>
      </c>
      <c r="AC80" s="123"/>
      <c r="AD80" s="123"/>
      <c r="AE80" s="123"/>
      <c r="AF80" s="123">
        <f>(AE80/12*2*$E80*$G80*$H80*$M80*$AF$11)+(AE80/12*10*$F80*$G80*$H80*$M80*$AF$11)</f>
        <v>0</v>
      </c>
      <c r="AG80" s="123"/>
      <c r="AH80" s="126">
        <f>(AG80/12*2*$E80*$G80*$H80*$M80*$AH$11)+(AG80/12*10*$F80*$G80*$H80*$M80*$AH$11)</f>
        <v>0</v>
      </c>
      <c r="AI80" s="123"/>
      <c r="AJ80" s="123">
        <f t="shared" si="50"/>
        <v>0</v>
      </c>
      <c r="AK80" s="123"/>
      <c r="AL80" s="123">
        <f t="shared" si="51"/>
        <v>0</v>
      </c>
      <c r="AM80" s="132"/>
      <c r="AN80" s="123">
        <f>(AM80/12*2*$E80*$G80*$H80*$N80*$AN$11)+(AM80/12*10*$F80*$G80*$H80*$N80*$AN$12)</f>
        <v>0</v>
      </c>
      <c r="AO80" s="130"/>
      <c r="AP80" s="127">
        <f>(AO80/12*2*$E80*$G80*$H80*$N80*$AP$11)+(AO80/12*10*$F80*$G80*$H80*$N80*$AP$11)</f>
        <v>0</v>
      </c>
      <c r="AQ80" s="127">
        <v>0</v>
      </c>
      <c r="AR80" s="127">
        <v>0</v>
      </c>
      <c r="AS80" s="123"/>
      <c r="AT80" s="123">
        <f>(AS80/12*2*$E80*$G80*$H80*$M80*$AT$11)+(AS80/12*10*$F80*$G80*$H80*$M80*$AT$11)</f>
        <v>0</v>
      </c>
      <c r="AU80" s="123"/>
      <c r="AV80" s="126">
        <f>(AU80/12*2*$E80*$G80*$H80*$M80*$AV$11)+(AU80/12*10*$F80*$G80*$H80*$M80*$AV$12)</f>
        <v>0</v>
      </c>
      <c r="AW80" s="123"/>
      <c r="AX80" s="123">
        <f>(AW80/12*2*$E80*$G80*$H80*$M80*$AX$11)+(AW80/12*10*$F80*$G80*$H80*$M80*$AX$12)</f>
        <v>0</v>
      </c>
      <c r="AY80" s="123">
        <v>1</v>
      </c>
      <c r="AZ80" s="123">
        <f>(AY80/12*2*$E80*$G80*$H80*$N80*$AZ$11)+(AY80/12*10*$F80*$G80*$H80*$N80*$AZ$11)</f>
        <v>67386.164999999994</v>
      </c>
      <c r="BA80" s="123"/>
      <c r="BB80" s="123">
        <f>(BA80/12*2*$E80*$G80*$H80*$N80*$BB$11)+(BA80/12*10*$F80*$G80*$H80*$N80*$BB$12)</f>
        <v>0</v>
      </c>
      <c r="BC80" s="123"/>
      <c r="BD80" s="126">
        <f>(BC80/12*2*$E80*$G80*$H80*$N80*$BD$11)+(BC80/12*10*$F80*$G80*$H80*$N80*$BD$12)</f>
        <v>0</v>
      </c>
      <c r="BE80" s="123"/>
      <c r="BF80" s="123">
        <f>(BE80/12*10*$F80*$G80*$H80*$N80*$BF$12)</f>
        <v>0</v>
      </c>
      <c r="BG80" s="123"/>
      <c r="BH80" s="123">
        <f>(BG80/12*2*$E80*$G80*$H80*$N80*$BH$11)+(BG80/12*10*$F80*$G80*$H80*$N80*$BH$11)</f>
        <v>0</v>
      </c>
      <c r="BI80" s="123"/>
      <c r="BJ80" s="126">
        <f>(BI80/12*2*$E80*$G80*$H80*$N80*$BJ$11)+(BI80/12*10*$F80*$G80*$H80*$N80*$BJ$11)</f>
        <v>0</v>
      </c>
      <c r="BK80" s="123"/>
      <c r="BL80" s="127">
        <f>(BK80/12*2*$E80*$G80*$H80*$N80*$BL$11)+(BK80/12*10*$F80*$G80*$H80*$N80*$BL$11)</f>
        <v>0</v>
      </c>
      <c r="BM80" s="123"/>
      <c r="BN80" s="123">
        <f>(BM80/12*2*$E80*$G80*$H80*$M80*$BN$11)+(BM80/12*10*$F80*$G80*$H80*$M80*$BN$11)</f>
        <v>0</v>
      </c>
      <c r="BO80" s="123"/>
      <c r="BP80" s="123">
        <f>(BO80/12*2*$E80*$G80*$H80*$M80*$BP$11)+(BO80/12*10*$F80*$G80*$H80*$M80*$BP$12)</f>
        <v>0</v>
      </c>
      <c r="BQ80" s="123"/>
      <c r="BR80" s="123">
        <f>(BQ80/12*2*$E80*$G80*$H80*$M80*$BR$11)+(BQ80/12*10*$F80*$G80*$H80*$M80*$BR$11)</f>
        <v>0</v>
      </c>
      <c r="BS80" s="123"/>
      <c r="BT80" s="123">
        <f>(BS80/12*2*$E80*$G80*$H80*$N80*$BT$11)+(BS80/12*10*$F80*$G80*$H80*$N80*$BT$11)</f>
        <v>0</v>
      </c>
      <c r="BU80" s="123"/>
      <c r="BV80" s="126">
        <f>(BU80/12*2*$E80*$G80*$H80*$M80*$BV$11)+(BU80/12*10*$F80*$G80*$H80*$M80*$BV$11)</f>
        <v>0</v>
      </c>
      <c r="BW80" s="123"/>
      <c r="BX80" s="123">
        <f>(BW80/12*2*$E80*$G80*$H80*$M80*$BX$11)+(BW80/12*10*$F80*$G80*$H80*$M80*$BX$11)</f>
        <v>0</v>
      </c>
      <c r="BY80" s="123"/>
      <c r="BZ80" s="123">
        <f>(BY80/12*2*$E80*$G80*$H80*$M80*$BZ$11)+(BY80/12*10*$F80*$G80*$H80*$M80*$BZ$11)</f>
        <v>0</v>
      </c>
      <c r="CA80" s="123"/>
      <c r="CB80" s="123">
        <f>(CA80/12*2*$E80*$G80*$H80*$M80*$CB$11)+(CA80/12*10*$F80*$G80*$H80*$M80*$CB$11)</f>
        <v>0</v>
      </c>
      <c r="CC80" s="123"/>
      <c r="CD80" s="123">
        <f>(CC80/12*2*$E80*$G80*$H80*$M80*$CD$11)+(CC80/12*10*$F80*$G80*$H80*$M80*$CD$11)</f>
        <v>0</v>
      </c>
      <c r="CE80" s="123"/>
      <c r="CF80" s="123">
        <f>(CE80/12*10*$F80*$G80*$H80*$N80*$CF$11)</f>
        <v>0</v>
      </c>
      <c r="CG80" s="132"/>
      <c r="CH80" s="123">
        <f>(CG80/12*2*$E80*$G80*$H80*$N80*$CH$11)+(CG80/12*10*$F80*$G80*$H80*$N80*$CH$11)</f>
        <v>0</v>
      </c>
      <c r="CI80" s="123"/>
      <c r="CJ80" s="127">
        <f>(CI80*$E80*$G80*$H80*$N80*CJ$11)</f>
        <v>0</v>
      </c>
      <c r="CK80" s="123"/>
      <c r="CL80" s="123">
        <f>(CK80/12*2*$E80*$G80*$H80*$N80*$CL$11)+(CK80/12*10*$F80*$G80*$H80*$N80*$CL$12)</f>
        <v>0</v>
      </c>
      <c r="CM80" s="130"/>
      <c r="CN80" s="123">
        <f>(CM80/12*2*$E80*$G80*$H80*$N80*$CN$11)+(CM80/12*10*$F80*$G80*$H80*$N80*$CN$11)</f>
        <v>0</v>
      </c>
      <c r="CO80" s="123"/>
      <c r="CP80" s="123">
        <f>(CO80/12*2*$E80*$G80*$H80*$N80*$CP$11)+(CO80/12*10*$F80*$G80*$H80*$N80*$CP$11)</f>
        <v>0</v>
      </c>
      <c r="CQ80" s="123"/>
      <c r="CR80" s="123">
        <f>(CQ80/12*2*$E80*$G80*$H80*$O80*$CR$11)+(CQ80/12*10*$F80*$G80*$H80*$O80*$CR$11)</f>
        <v>0</v>
      </c>
      <c r="CS80" s="123"/>
      <c r="CT80" s="133">
        <f>(CS80/12*2*$E80*$G80*$H80*$P80*$CT$11)+(CS80/12*10*$F80*$G80*$H80*$P80*$CT$11)</f>
        <v>0</v>
      </c>
      <c r="CU80" s="127"/>
      <c r="CV80" s="127"/>
      <c r="CW80" s="126">
        <f t="shared" si="49"/>
        <v>11</v>
      </c>
      <c r="CX80" s="126">
        <f t="shared" si="49"/>
        <v>752070.31083333341</v>
      </c>
    </row>
    <row r="81" spans="1:117" ht="30" x14ac:dyDescent="0.25">
      <c r="A81" s="91"/>
      <c r="B81" s="116">
        <v>58</v>
      </c>
      <c r="C81" s="147" t="s">
        <v>250</v>
      </c>
      <c r="D81" s="148" t="s">
        <v>251</v>
      </c>
      <c r="E81" s="95">
        <v>28004</v>
      </c>
      <c r="F81" s="96">
        <v>29405</v>
      </c>
      <c r="G81" s="149">
        <v>2.29</v>
      </c>
      <c r="H81" s="107">
        <v>1</v>
      </c>
      <c r="I81" s="108"/>
      <c r="J81" s="108"/>
      <c r="K81" s="108"/>
      <c r="L81" s="165">
        <v>0.32419999999999999</v>
      </c>
      <c r="M81" s="120">
        <v>1.4</v>
      </c>
      <c r="N81" s="120">
        <v>1.68</v>
      </c>
      <c r="O81" s="120">
        <v>2.23</v>
      </c>
      <c r="P81" s="121">
        <v>2.57</v>
      </c>
      <c r="Q81" s="122"/>
      <c r="R81" s="143">
        <f>(Q81/12*2*$E81*$G81*((1-$L81)+$L81*$M81*$R$11*$H81))+(Q81/12*10*$F81*$G81*((1-$L81)+$L81*$M81*$R$11*$H81))</f>
        <v>0</v>
      </c>
      <c r="S81" s="124"/>
      <c r="T81" s="144">
        <f>(S81/12*2*$E81*$G81*((1-$L81)+$L81*$M81*$R$11*$H81))+(S81/12*10*$F81*$G81*((1-$L81)+$L81*$M81*$R$11*$H81))</f>
        <v>0</v>
      </c>
      <c r="U81" s="123">
        <v>38</v>
      </c>
      <c r="V81" s="143">
        <f>(U81/12*2*$E81*$G81*((1-$L81)+$L81*$M81*V$11*$H81))+(U81/12*10*$F81*$G81*((1-$L81)+$L81*$M81*V$12*$H81))</f>
        <v>3260819.3318051267</v>
      </c>
      <c r="W81" s="123"/>
      <c r="X81" s="143">
        <f>(W81/12*2*$E81*$G81*((1-$L81)+$L81*$M81*$X$11*$H81))+(W81/12*10*$F81*$G81*((1-$L81)+$L81*$M81*$X$12*$H81))</f>
        <v>0</v>
      </c>
      <c r="Y81" s="123"/>
      <c r="Z81" s="143">
        <f>(Y81/12*2*$E81*$G81*((1-$L81)+$L81*$M81*$Z$11*$H81))+(Y81/12*10*$F81*$G81*((1-$L81)+$L81*$M81*$Z$12*$H81))</f>
        <v>0</v>
      </c>
      <c r="AA81" s="123"/>
      <c r="AB81" s="143">
        <f>(AA81/12*2*$E81*$G81*((1-$L81)+$L81*$M81*$AB$11*$H81))+(AA81/12*10*$F81*$G81*((1-$L81)+$L81*$M81*$AB$11*$H81))</f>
        <v>0</v>
      </c>
      <c r="AC81" s="123"/>
      <c r="AD81" s="123"/>
      <c r="AE81" s="123"/>
      <c r="AF81" s="143">
        <f>(AE81/12*2*$E81*$G81*((1-$L81)+$L81*$M81*AF$11*$H81))+(AE81/12*10*$F81*$G81*((1-$L81)+$L81*$M81*AF$11*$H81))</f>
        <v>0</v>
      </c>
      <c r="AG81" s="123"/>
      <c r="AH81" s="143">
        <f>(AG81/12*2*$E81*$G81*((1-$L81)+$L81*$H81*AH$11*$M81))+(AG81/12*10*$F81*$G81*((1-$L81)+$L81*$H81*AH$11*$M81))</f>
        <v>0</v>
      </c>
      <c r="AI81" s="123"/>
      <c r="AJ81" s="143">
        <f>(AI81/12*2*$E81*$G81*((1-$L81)+$L81*$H81*AJ$11*$M81))+(AI81/12*5*$F81*$G81*((1-$L81)+$L81*$H81*AJ$12*$M81))+(AI81/12*5*$F81*$G81*((1-$L81)+$L81*$H81*AJ$13*$M81))</f>
        <v>0</v>
      </c>
      <c r="AK81" s="123"/>
      <c r="AL81" s="143">
        <f>(AK81/12*2*$E81*$G81*((1-$L81)+$L81*$H81*AL$11*$N81))+(AK81/12*4*$F81*$G81*((1-$L81)+$L81*$H81*AL$12*$N81))+(AK81/12*6*$F81*$G81*((1-$L81)+$L81*$H81*AL$13*$N81))</f>
        <v>0</v>
      </c>
      <c r="AM81" s="132"/>
      <c r="AN81" s="143">
        <f>(AM81/12*2*$E81*$G81*((1-$L81)+$L81*$N81*$AN$11*H81))+(AM81/12*10*$F81*$G81*((1-$L81)+$L81*$N81*$AN$12*H81))</f>
        <v>0</v>
      </c>
      <c r="AO81" s="130"/>
      <c r="AP81" s="143">
        <f>(AO81/12*2*$E81*$G81*((1-$L81)+$L81*$H81*AP$11*$N81))+(AO81/12*10*$F81*$G81*((1-$L81)+$L81*$H81*AP$11*$N81))</f>
        <v>0</v>
      </c>
      <c r="AQ81" s="143">
        <v>0</v>
      </c>
      <c r="AR81" s="143">
        <v>0</v>
      </c>
      <c r="AS81" s="123"/>
      <c r="AT81" s="123"/>
      <c r="AU81" s="123"/>
      <c r="AV81" s="126"/>
      <c r="AW81" s="123"/>
      <c r="AX81" s="143">
        <f>(AW81/12*2*$E81*$G81*((1-$L81)+$L81*$H81*AX$11*$M81))+(AW81/12*10*$F81*$G81*((1-$L81)+$L81*$H81*AX$12*$M81))</f>
        <v>0</v>
      </c>
      <c r="AY81" s="131"/>
      <c r="AZ81" s="143">
        <f>(AY81/12*2*$E81*$G81*((1-$L81)+$L81*$N81*$H81*$AZ$11))+(AY81/12*10*$F81*$G81*((1-$L81)+$L81*$N81*$H81*$AZ$11))</f>
        <v>0</v>
      </c>
      <c r="BA81" s="123"/>
      <c r="BB81" s="143">
        <f>(BA81/12*2*$E81*$G81*((1-$L81)+$L81*$H81*BB$11*$N81))+(BA81/12*10*$F81*$G81*((1-$L81)+$L81*$H81*BB$12*$N81))</f>
        <v>0</v>
      </c>
      <c r="BC81" s="123"/>
      <c r="BD81" s="146">
        <f>(BC81/12*2*$E81*$G81*$H81*$N81*$BD$11)+(BC81/12*10*$F81*$G81*$H81*$N81*$BD$12)</f>
        <v>0</v>
      </c>
      <c r="BE81" s="123"/>
      <c r="BF81" s="143">
        <f>(BE81/12*2*$E81*$G81*((1-$L81)+$L81*$H81*BF$11*$N81))+(BE81/12*10*$F81*$G81*((1-$L81)+$L81*$H81*BF$12*$N81))</f>
        <v>0</v>
      </c>
      <c r="BG81" s="123"/>
      <c r="BH81" s="143">
        <f>(BG81/12*2*$E81*$G81*((1-$L81)+$L81*$H81*BH$11*$N81))+(BG81/12*10*$F81*$G81*((1-$L81)+$L81*$H81*BH$11*$N81))</f>
        <v>0</v>
      </c>
      <c r="BI81" s="123"/>
      <c r="BJ81" s="143">
        <f>(BI81/12*2*$E81*$G81*((1-$L81)+$L81*$H81*BJ$11*$N81))+(BI81/12*10*$F81*$G81*((1-$L81)+$L81*$H81*BJ$11*$N81))</f>
        <v>0</v>
      </c>
      <c r="BK81" s="123"/>
      <c r="BL81" s="143">
        <f>(BK81/12*2*$E81*$G81*((1-$L81)+$L81*$H81*BL$11*$N81))+(BK81/12*10*$F81*$G81*((1-$L81)+$L81*$H81*BL$11*$N81))</f>
        <v>0</v>
      </c>
      <c r="BM81" s="123"/>
      <c r="BN81" s="143">
        <f>(BM81/12*2*$E81*$G81*((1-$L81)+$L81*$H81*BN$11*$M81))+(BM81/12*10*$F81*$G81*((1-$L81)+$L81*$H81*BN$11*$M81))</f>
        <v>0</v>
      </c>
      <c r="BO81" s="123"/>
      <c r="BP81" s="143">
        <f>(BO81/12*2*$E81*$G81*((1-$L81)+$L81*$H81*BP$11*$M81))+(BO81/12*10*$F81*$G81*((1-$L81)+$L81*$H81*BP$12*$M81))</f>
        <v>0</v>
      </c>
      <c r="BQ81" s="123"/>
      <c r="BR81" s="123"/>
      <c r="BS81" s="123"/>
      <c r="BT81" s="143">
        <f>(BS81/12*2*$E81*$G81*((1-$L81)+$L81*$H81*BT$11*$N81))+(BS81/12*10*$F81*$G81*((1-$L81)+$L81*$H81*BT$11*$N81))</f>
        <v>0</v>
      </c>
      <c r="BU81" s="123"/>
      <c r="BV81" s="126"/>
      <c r="BW81" s="123"/>
      <c r="BX81" s="143">
        <f>(BW81/12*2*$E81*$G81*((1-$L81)+$L81*$H81*BX$11*$M81))+(BW81/12*10*$F81*$G81*((1-$L81)+$L81*$H81*BX$11*$M81))</f>
        <v>0</v>
      </c>
      <c r="BY81" s="123"/>
      <c r="BZ81" s="143">
        <f>(BY81/12*2*$E81*$G81*((1-$L81)+$L81*$H81*BZ$11*$M81))+(BY81/12*10*$F81*$G81*((1-$L81)+$L81*$H81*BZ$11*$M81))</f>
        <v>0</v>
      </c>
      <c r="CA81" s="123"/>
      <c r="CB81" s="143">
        <f>(CA81/12*2*$E81*$G81*((1-$L81)+$L81*$H81*CB$11*$M81))+(CA81/12*10*$F81*$G81*((1-$L81)+$L81*$H81*CB$11*$M81))</f>
        <v>0</v>
      </c>
      <c r="CC81" s="123"/>
      <c r="CD81" s="146">
        <f>(CC81/12*2*$E81*$G81*((1-$L81)+$L81*$M81*$CD$11*$H81))+(CC81/12*10*$F81*$G81*((1-$L81)+$L81*$M81*$CD$11*$H81))</f>
        <v>0</v>
      </c>
      <c r="CE81" s="123"/>
      <c r="CF81" s="143">
        <f>(CE81/12*10*$F81*$G81*((1-$L81)+$L81*$H81*CF$11*$N81))</f>
        <v>0</v>
      </c>
      <c r="CG81" s="132"/>
      <c r="CH81" s="143">
        <f>(CG81/12*2*$E81*$G81*((1-$L81)+$L81*$H81*CH$11*$N81))+(CG81/12*10*$F81*$G81*((1-$L81)+$L81*$H81*CH$11*$N81))</f>
        <v>0</v>
      </c>
      <c r="CI81" s="123"/>
      <c r="CJ81" s="127"/>
      <c r="CK81" s="123"/>
      <c r="CL81" s="123"/>
      <c r="CM81" s="130"/>
      <c r="CN81" s="143">
        <f>((CM81/12*2*$E81*$G81*((1-$L81)+$L81*$H81*CN$11*$N81)))+((CM81/12*10*$F81*$G81*((1-$L81)+$L81*$H81*CN$11*$N81)))</f>
        <v>0</v>
      </c>
      <c r="CO81" s="123"/>
      <c r="CP81" s="143">
        <f>(CO81/12*2*$E81*$G81*((1-$L81)+$L81*$H81*CP$11*$N81))+(CO81/12*10*$F81*$G81*((1-$L81)+$L81*$H81*CP$11*$N81))</f>
        <v>0</v>
      </c>
      <c r="CQ81" s="123"/>
      <c r="CR81" s="143">
        <f>(CQ81/12*2*$E81*$G81*((1-$L81)+$L81*$H81*CR$11*$O81))+(CQ81/12*10*$F81*$G81*((1-$L81)+$L81*$H81*CR$11*$O81))</f>
        <v>0</v>
      </c>
      <c r="CS81" s="123"/>
      <c r="CT81" s="143">
        <f>(CS81/12*2*$E81*$G81*((1-$L81)+$L81*$H81*CT$11*$P81))+(CS81/12*10*$F81*$G81*((1-$L81)+$L81*$H81*CT$11*$P81))</f>
        <v>0</v>
      </c>
      <c r="CU81" s="127"/>
      <c r="CV81" s="127"/>
      <c r="CW81" s="126">
        <f t="shared" si="49"/>
        <v>38</v>
      </c>
      <c r="CX81" s="126">
        <f t="shared" si="49"/>
        <v>3260819.3318051267</v>
      </c>
    </row>
    <row r="82" spans="1:117" ht="15.75" customHeight="1" x14ac:dyDescent="0.25">
      <c r="A82" s="109">
        <v>11</v>
      </c>
      <c r="B82" s="150"/>
      <c r="C82" s="93" t="s">
        <v>252</v>
      </c>
      <c r="D82" s="164" t="s">
        <v>253</v>
      </c>
      <c r="E82" s="95">
        <v>28004</v>
      </c>
      <c r="F82" s="96">
        <v>29405</v>
      </c>
      <c r="G82" s="151">
        <v>1.48</v>
      </c>
      <c r="H82" s="107"/>
      <c r="I82" s="108"/>
      <c r="J82" s="108"/>
      <c r="K82" s="108"/>
      <c r="L82" s="111"/>
      <c r="M82" s="112">
        <v>1.4</v>
      </c>
      <c r="N82" s="112">
        <v>1.68</v>
      </c>
      <c r="O82" s="112">
        <v>2.23</v>
      </c>
      <c r="P82" s="113">
        <v>2.57</v>
      </c>
      <c r="Q82" s="103">
        <f>SUM(Q83:Q86)</f>
        <v>0</v>
      </c>
      <c r="R82" s="104">
        <f>SUM(R83:R86)</f>
        <v>0</v>
      </c>
      <c r="S82" s="114">
        <f t="shared" ref="S82:CD82" si="52">SUM(S83:S86)</f>
        <v>2</v>
      </c>
      <c r="T82" s="115">
        <f t="shared" si="52"/>
        <v>203056.97719999996</v>
      </c>
      <c r="U82" s="104">
        <f t="shared" si="52"/>
        <v>486</v>
      </c>
      <c r="V82" s="104">
        <f t="shared" si="52"/>
        <v>44503373.984533325</v>
      </c>
      <c r="W82" s="104">
        <f t="shared" si="52"/>
        <v>0</v>
      </c>
      <c r="X82" s="104">
        <f t="shared" si="52"/>
        <v>0</v>
      </c>
      <c r="Y82" s="104">
        <f t="shared" si="52"/>
        <v>0</v>
      </c>
      <c r="Z82" s="104">
        <f t="shared" si="52"/>
        <v>0</v>
      </c>
      <c r="AA82" s="104">
        <f t="shared" si="52"/>
        <v>0</v>
      </c>
      <c r="AB82" s="104">
        <f t="shared" si="52"/>
        <v>0</v>
      </c>
      <c r="AC82" s="104">
        <f t="shared" si="52"/>
        <v>0</v>
      </c>
      <c r="AD82" s="104">
        <f t="shared" si="52"/>
        <v>0</v>
      </c>
      <c r="AE82" s="104">
        <f t="shared" si="52"/>
        <v>0</v>
      </c>
      <c r="AF82" s="104">
        <f t="shared" si="52"/>
        <v>0</v>
      </c>
      <c r="AG82" s="104">
        <f t="shared" si="52"/>
        <v>0</v>
      </c>
      <c r="AH82" s="104">
        <f t="shared" si="52"/>
        <v>0</v>
      </c>
      <c r="AI82" s="104">
        <f t="shared" si="52"/>
        <v>0</v>
      </c>
      <c r="AJ82" s="104">
        <f t="shared" si="52"/>
        <v>0</v>
      </c>
      <c r="AK82" s="104">
        <f t="shared" si="52"/>
        <v>6</v>
      </c>
      <c r="AL82" s="104">
        <f t="shared" si="52"/>
        <v>573487.90715999994</v>
      </c>
      <c r="AM82" s="104">
        <f t="shared" si="52"/>
        <v>0</v>
      </c>
      <c r="AN82" s="104">
        <f t="shared" si="52"/>
        <v>0</v>
      </c>
      <c r="AO82" s="106">
        <f t="shared" si="52"/>
        <v>0</v>
      </c>
      <c r="AP82" s="104">
        <f t="shared" si="52"/>
        <v>0</v>
      </c>
      <c r="AQ82" s="104">
        <v>4</v>
      </c>
      <c r="AR82" s="104">
        <v>328216.24</v>
      </c>
      <c r="AS82" s="104">
        <f t="shared" si="52"/>
        <v>0</v>
      </c>
      <c r="AT82" s="104">
        <f t="shared" si="52"/>
        <v>0</v>
      </c>
      <c r="AU82" s="104">
        <f t="shared" si="52"/>
        <v>0</v>
      </c>
      <c r="AV82" s="104">
        <f t="shared" si="52"/>
        <v>0</v>
      </c>
      <c r="AW82" s="104">
        <f t="shared" si="52"/>
        <v>0</v>
      </c>
      <c r="AX82" s="104">
        <f t="shared" si="52"/>
        <v>0</v>
      </c>
      <c r="AY82" s="104">
        <f t="shared" si="52"/>
        <v>2</v>
      </c>
      <c r="AZ82" s="104">
        <f t="shared" si="52"/>
        <v>162804.97464</v>
      </c>
      <c r="BA82" s="104">
        <f t="shared" si="52"/>
        <v>50</v>
      </c>
      <c r="BB82" s="104">
        <f t="shared" si="52"/>
        <v>3575788.7199999997</v>
      </c>
      <c r="BC82" s="104">
        <f t="shared" si="52"/>
        <v>0</v>
      </c>
      <c r="BD82" s="104">
        <f t="shared" si="52"/>
        <v>0</v>
      </c>
      <c r="BE82" s="104">
        <f t="shared" si="52"/>
        <v>8</v>
      </c>
      <c r="BF82" s="104">
        <f t="shared" si="52"/>
        <v>497297.35999999993</v>
      </c>
      <c r="BG82" s="104">
        <f t="shared" si="52"/>
        <v>1</v>
      </c>
      <c r="BH82" s="104">
        <f t="shared" si="52"/>
        <v>124382.60855999998</v>
      </c>
      <c r="BI82" s="104">
        <f t="shared" si="52"/>
        <v>6</v>
      </c>
      <c r="BJ82" s="104">
        <f t="shared" si="52"/>
        <v>532816.28064000001</v>
      </c>
      <c r="BK82" s="104">
        <f t="shared" si="52"/>
        <v>14</v>
      </c>
      <c r="BL82" s="104">
        <f t="shared" si="52"/>
        <v>1312633.4860799999</v>
      </c>
      <c r="BM82" s="104">
        <f t="shared" si="52"/>
        <v>0</v>
      </c>
      <c r="BN82" s="104">
        <f t="shared" si="52"/>
        <v>0</v>
      </c>
      <c r="BO82" s="104">
        <f t="shared" si="52"/>
        <v>0</v>
      </c>
      <c r="BP82" s="104">
        <f t="shared" si="52"/>
        <v>0</v>
      </c>
      <c r="BQ82" s="104">
        <f t="shared" si="52"/>
        <v>0</v>
      </c>
      <c r="BR82" s="104">
        <f t="shared" si="52"/>
        <v>0</v>
      </c>
      <c r="BS82" s="104">
        <f t="shared" si="52"/>
        <v>3</v>
      </c>
      <c r="BT82" s="104">
        <f t="shared" si="52"/>
        <v>215635.72799999997</v>
      </c>
      <c r="BU82" s="104">
        <f t="shared" si="52"/>
        <v>0</v>
      </c>
      <c r="BV82" s="104">
        <f t="shared" si="52"/>
        <v>0</v>
      </c>
      <c r="BW82" s="104">
        <f t="shared" si="52"/>
        <v>0</v>
      </c>
      <c r="BX82" s="104">
        <f t="shared" si="52"/>
        <v>0</v>
      </c>
      <c r="BY82" s="104">
        <f t="shared" si="52"/>
        <v>4</v>
      </c>
      <c r="BZ82" s="104">
        <f t="shared" si="52"/>
        <v>246674.20399999997</v>
      </c>
      <c r="CA82" s="104">
        <f t="shared" si="52"/>
        <v>0</v>
      </c>
      <c r="CB82" s="104">
        <f t="shared" si="52"/>
        <v>0</v>
      </c>
      <c r="CC82" s="104">
        <f t="shared" si="52"/>
        <v>0</v>
      </c>
      <c r="CD82" s="104">
        <f t="shared" si="52"/>
        <v>0</v>
      </c>
      <c r="CE82" s="104">
        <f t="shared" ref="CE82:CX82" si="53">SUM(CE83:CE86)</f>
        <v>2</v>
      </c>
      <c r="CF82" s="104">
        <f t="shared" si="53"/>
        <v>124324.33999999998</v>
      </c>
      <c r="CG82" s="104">
        <f t="shared" si="53"/>
        <v>0</v>
      </c>
      <c r="CH82" s="104">
        <f t="shared" si="53"/>
        <v>0</v>
      </c>
      <c r="CI82" s="104">
        <f t="shared" si="53"/>
        <v>0</v>
      </c>
      <c r="CJ82" s="104">
        <f t="shared" si="53"/>
        <v>0</v>
      </c>
      <c r="CK82" s="104">
        <f t="shared" si="53"/>
        <v>0</v>
      </c>
      <c r="CL82" s="104">
        <f t="shared" si="53"/>
        <v>0</v>
      </c>
      <c r="CM82" s="104">
        <f t="shared" si="53"/>
        <v>0</v>
      </c>
      <c r="CN82" s="104">
        <f t="shared" si="53"/>
        <v>0</v>
      </c>
      <c r="CO82" s="104">
        <f t="shared" si="53"/>
        <v>1</v>
      </c>
      <c r="CP82" s="104">
        <f t="shared" si="53"/>
        <v>68172.55</v>
      </c>
      <c r="CQ82" s="104">
        <f t="shared" si="53"/>
        <v>0</v>
      </c>
      <c r="CR82" s="104">
        <f t="shared" si="53"/>
        <v>0</v>
      </c>
      <c r="CS82" s="104">
        <f t="shared" si="53"/>
        <v>2</v>
      </c>
      <c r="CT82" s="104">
        <f t="shared" si="53"/>
        <v>226411.68009999997</v>
      </c>
      <c r="CU82" s="104">
        <f t="shared" si="53"/>
        <v>0</v>
      </c>
      <c r="CV82" s="104">
        <f t="shared" si="53"/>
        <v>0</v>
      </c>
      <c r="CW82" s="104">
        <f t="shared" si="53"/>
        <v>591</v>
      </c>
      <c r="CX82" s="104">
        <f t="shared" si="53"/>
        <v>52695077.040913321</v>
      </c>
      <c r="DL82" s="1">
        <f>DJ38</f>
        <v>0</v>
      </c>
      <c r="DM82" s="1">
        <f>DK38</f>
        <v>0</v>
      </c>
    </row>
    <row r="83" spans="1:117" ht="15.75" customHeight="1" x14ac:dyDescent="0.25">
      <c r="A83" s="91"/>
      <c r="B83" s="116">
        <v>59</v>
      </c>
      <c r="C83" s="117" t="s">
        <v>254</v>
      </c>
      <c r="D83" s="161" t="s">
        <v>255</v>
      </c>
      <c r="E83" s="95">
        <v>28004</v>
      </c>
      <c r="F83" s="96">
        <v>29405</v>
      </c>
      <c r="G83" s="119">
        <v>1.51</v>
      </c>
      <c r="H83" s="107">
        <v>1</v>
      </c>
      <c r="I83" s="108"/>
      <c r="J83" s="108"/>
      <c r="K83" s="108"/>
      <c r="L83" s="63"/>
      <c r="M83" s="120">
        <v>1.4</v>
      </c>
      <c r="N83" s="120">
        <v>1.68</v>
      </c>
      <c r="O83" s="120">
        <v>2.23</v>
      </c>
      <c r="P83" s="121">
        <v>2.57</v>
      </c>
      <c r="Q83" s="122"/>
      <c r="R83" s="123">
        <f>(Q83/12*2*$E83*$G83*$H83*$M83*$R$11)+(Q83/12*10*$F83*$G83*$H83*$M83*$R$11)</f>
        <v>0</v>
      </c>
      <c r="S83" s="124"/>
      <c r="T83" s="125">
        <f>(S83/12*2*$E83*$G83*$H83*$M83*$R$11)+(S83/12*10*$F83*$G83*$H83*$M83*$R$11)</f>
        <v>0</v>
      </c>
      <c r="U83" s="123">
        <v>260</v>
      </c>
      <c r="V83" s="123">
        <f>(U83/12*2*$E83*$G83*$H83*$M83*$V$11)+(U83/12*10*$F83*$G83*$H83*$M83*$V$12)</f>
        <v>21504559.65233333</v>
      </c>
      <c r="W83" s="123"/>
      <c r="X83" s="126">
        <f>(W83/12*2*$E83*$G83*$H83*$M83*$X$11)+(W83/12*10*$F83*$G83*$H83*$M83*$X$12)</f>
        <v>0</v>
      </c>
      <c r="Y83" s="123"/>
      <c r="Z83" s="123">
        <f>(Y83/12*2*$E83*$G83*$H83*$M83*$Z$11)+(Y83/12*10*$F83*$G83*$H83*$M83*$Z$12)</f>
        <v>0</v>
      </c>
      <c r="AA83" s="123"/>
      <c r="AB83" s="123">
        <f>(AA83/12*2*$E83*$G83*$H83*$M83*$AB$11)+(AA83/12*10*$F83*$G83*$H83*$M83*$AB$11)</f>
        <v>0</v>
      </c>
      <c r="AC83" s="123"/>
      <c r="AD83" s="123"/>
      <c r="AE83" s="123"/>
      <c r="AF83" s="123">
        <f>(AE83/12*2*$E83*$G83*$H83*$M83*$AF$11)+(AE83/12*10*$F83*$G83*$H83*$M83*$AF$11)</f>
        <v>0</v>
      </c>
      <c r="AG83" s="123"/>
      <c r="AH83" s="126">
        <f>(AG83/12*2*$E83*$G83*$H83*$M83*$AH$11)+(AG83/12*10*$F83*$G83*$H83*$M83*$AH$11)</f>
        <v>0</v>
      </c>
      <c r="AI83" s="123"/>
      <c r="AJ83" s="123">
        <f t="shared" ref="AJ83:AJ86" si="54">(AI83/12*2*$E83*$G83*$H83*$M83*$AJ$11)+(AI83/12*5*$F83*$G83*$H83*$M83*$AJ$12)+(AI83/12*5*$F83*$G83*$H83*$M83*$AJ$13)</f>
        <v>0</v>
      </c>
      <c r="AK83" s="123">
        <v>6</v>
      </c>
      <c r="AL83" s="123">
        <f t="shared" ref="AL83:AL86" si="55">(AK83/12*2*$E83*$G83*$H83*$N83*$AL$11)+(AK83/12*5*$F83*$G83*$H83*$N83*$AL$12)++(AK83/12*5*$F83*$G83*$H83*$N83*$AL$13)</f>
        <v>573487.90715999994</v>
      </c>
      <c r="AM83" s="132"/>
      <c r="AN83" s="123">
        <f>(AM83/12*2*$E83*$G83*$H83*$N83*$AN$11)+(AM83/12*10*$F83*$G83*$H83*$N83*$AN$12)</f>
        <v>0</v>
      </c>
      <c r="AO83" s="130"/>
      <c r="AP83" s="127">
        <f>(AO83/12*2*$E83*$G83*$H83*$N83*$AP$11)+(AO83/12*10*$F83*$G83*$H83*$N83*$AP$11)</f>
        <v>0</v>
      </c>
      <c r="AQ83" s="127">
        <v>4</v>
      </c>
      <c r="AR83" s="127">
        <v>328216.24</v>
      </c>
      <c r="AS83" s="123"/>
      <c r="AT83" s="123">
        <f>(AS83/12*2*$E83*$G83*$H83*$M83*$AT$11)+(AS83/12*10*$F83*$G83*$H83*$M83*$AT$11)</f>
        <v>0</v>
      </c>
      <c r="AU83" s="123"/>
      <c r="AV83" s="126">
        <f>(AU83/12*2*$E83*$G83*$H83*$M83*$AV$11)+(AU83/12*10*$F83*$G83*$H83*$M83*$AV$12)</f>
        <v>0</v>
      </c>
      <c r="AW83" s="123"/>
      <c r="AX83" s="123">
        <f>(AW83/12*2*$E83*$G83*$H83*$M83*$AX$11)+(AW83/12*10*$F83*$G83*$H83*$M83*$AX$12)</f>
        <v>0</v>
      </c>
      <c r="AY83" s="131">
        <v>2</v>
      </c>
      <c r="AZ83" s="123">
        <f>(AY83/12*2*$E83*$G83*$H83*$N83*$AZ$11)+(AY83/12*10*$F83*$G83*$H83*$N83*$AZ$11)</f>
        <v>162804.97464</v>
      </c>
      <c r="BA83" s="123">
        <v>50</v>
      </c>
      <c r="BB83" s="123">
        <f>(BA83/12*2*$E83*$G83*$H83*$N83*$BB$11)+(BA83/12*10*$F83*$G83*$H83*$N83*$BB$12)</f>
        <v>3575788.7199999997</v>
      </c>
      <c r="BC83" s="123"/>
      <c r="BD83" s="126">
        <f>(BC83/12*2*$E83*$G83*$H83*$N83*$BD$11)+(BC83/12*10*$F83*$G83*$H83*$N83*$BD$12)</f>
        <v>0</v>
      </c>
      <c r="BE83" s="123">
        <v>8</v>
      </c>
      <c r="BF83" s="123">
        <f>(BE83/12*10*$F83*$G83*$H83*$N83*$BF$12)</f>
        <v>497297.35999999993</v>
      </c>
      <c r="BG83" s="123"/>
      <c r="BH83" s="123">
        <f>(BG83/12*2*$E83*$G83*$H83*$N83*$BH$11)+(BG83/12*10*$F83*$G83*$H83*$N83*$BH$11)</f>
        <v>0</v>
      </c>
      <c r="BI83" s="123">
        <v>6</v>
      </c>
      <c r="BJ83" s="126">
        <f>(BI83/12*2*$E83*$G83*$H83*$N83*$BJ$11)+(BI83/12*10*$F83*$G83*$H83*$N83*$BJ$11)</f>
        <v>532816.28064000001</v>
      </c>
      <c r="BK83" s="123">
        <v>12</v>
      </c>
      <c r="BL83" s="127">
        <f>(BK83/12*2*$E83*$G83*$H83*$N83*$BL$11)+(BK83/12*10*$F83*$G83*$H83*$N83*$BL$11)</f>
        <v>1065632.56128</v>
      </c>
      <c r="BM83" s="123"/>
      <c r="BN83" s="123">
        <f>(BM83/12*2*$E83*$G83*$H83*$M83*$BN$11)+(BM83/12*10*$F83*$G83*$H83*$M83*$BN$11)</f>
        <v>0</v>
      </c>
      <c r="BO83" s="123"/>
      <c r="BP83" s="123">
        <f>(BO83/12*2*$E83*$G83*$H83*$M83*$BP$11)+(BO83/12*10*$F83*$G83*$H83*$M83*$BP$12)</f>
        <v>0</v>
      </c>
      <c r="BQ83" s="123"/>
      <c r="BR83" s="123">
        <f>(BQ83/12*2*$E83*$G83*$H83*$M83*$BR$11)+(BQ83/12*10*$F83*$G83*$H83*$M83*$BR$11)</f>
        <v>0</v>
      </c>
      <c r="BS83" s="123">
        <v>2</v>
      </c>
      <c r="BT83" s="123">
        <f>(BS83/12*2*$E83*$G83*$H83*$N83*$BT$11)+(BS83/12*10*$F83*$G83*$H83*$N83*$BT$11)</f>
        <v>148004.52239999999</v>
      </c>
      <c r="BU83" s="123"/>
      <c r="BV83" s="126">
        <f>(BU83/12*2*$E83*$G83*$H83*$M83*$BV$11)+(BU83/12*10*$F83*$G83*$H83*$M83*$BV$11)</f>
        <v>0</v>
      </c>
      <c r="BW83" s="123"/>
      <c r="BX83" s="123">
        <f>(BW83/12*2*$E83*$G83*$H83*$M83*$BX$11)+(BW83/12*10*$F83*$G83*$H83*$M83*$BX$11)</f>
        <v>0</v>
      </c>
      <c r="BY83" s="123">
        <v>4</v>
      </c>
      <c r="BZ83" s="123">
        <f>(BY83/12*2*$E83*$G83*$H83*$M83*$BZ$11)+(BY83/12*10*$F83*$G83*$H83*$M83*$BZ$11)</f>
        <v>246674.20399999997</v>
      </c>
      <c r="CA83" s="123"/>
      <c r="CB83" s="123">
        <f>(CA83/12*2*$E83*$G83*$H83*$M83*$CB$11)+(CA83/12*10*$F83*$G83*$H83*$M83*$CB$11)</f>
        <v>0</v>
      </c>
      <c r="CC83" s="123"/>
      <c r="CD83" s="123">
        <f>(CC83/12*2*$E83*$G83*$H83*$M83*$CD$11)+(CC83/12*10*$F83*$G83*$H83*$M83*$CD$11)</f>
        <v>0</v>
      </c>
      <c r="CE83" s="123">
        <v>2</v>
      </c>
      <c r="CF83" s="123">
        <f>(CE83/12*10*$F83*$G83*$H83*$N83*$CF$11)</f>
        <v>124324.33999999998</v>
      </c>
      <c r="CG83" s="132"/>
      <c r="CH83" s="123">
        <f>(CG83/12*2*$E83*$G83*$H83*$N83*$CH$11)+(CG83/12*10*$F83*$G83*$H83*$N83*$CH$11)</f>
        <v>0</v>
      </c>
      <c r="CI83" s="123"/>
      <c r="CJ83" s="127">
        <f>(CI83*$E83*$G83*$H83*$N83*CJ$11)</f>
        <v>0</v>
      </c>
      <c r="CK83" s="123"/>
      <c r="CL83" s="123">
        <f>(CK83/12*2*$E83*$G83*$H83*$N83*$CL$11)+(CK83/12*10*$F83*$G83*$H83*$N83*$CL$12)</f>
        <v>0</v>
      </c>
      <c r="CM83" s="130"/>
      <c r="CN83" s="123">
        <f>(CM83/12*2*$E83*$G83*$H83*$N83*$CN$11)+(CM83/12*10*$F83*$G83*$H83*$N83*$CN$11)</f>
        <v>0</v>
      </c>
      <c r="CO83" s="123"/>
      <c r="CP83" s="123">
        <f>(CO83/12*2*$E83*$G83*$H83*$N83*$CP$11)+(CO83/12*10*$F83*$G83*$H83*$N83*$CP$11)</f>
        <v>0</v>
      </c>
      <c r="CQ83" s="123"/>
      <c r="CR83" s="123">
        <f>(CQ83/12*2*$E83*$G83*$H83*$O83*$CR$11)+(CQ83/12*10*$F83*$G83*$H83*$O83*$CR$11)</f>
        <v>0</v>
      </c>
      <c r="CS83" s="123">
        <v>2</v>
      </c>
      <c r="CT83" s="133">
        <f>(CS83/12*2*$E83*$G83*$H83*$P83*$CT$11)+(CS83/12*10*$F83*$G83*$H83*$P83*$CT$11)</f>
        <v>226411.68009999997</v>
      </c>
      <c r="CU83" s="127"/>
      <c r="CV83" s="127"/>
      <c r="CW83" s="126">
        <f t="shared" ref="CW83:CX86" si="56">SUM(Q83,S83,U83,W83,Y83,AA83,AC83,AE83,AG83,AM83,BQ83,AI83,AU83,CC83,AW83,AY83,AK83,BC83,AO83,AQ83,BE83,CE83,BG83,BI83,BK83,BS83,BM83,BO83,BU83,BW83,BY83,CA83,CG83,BA83,AS83,CI83,CK83,CM83,CO83,CQ83,CS83,CU83)</f>
        <v>358</v>
      </c>
      <c r="CX83" s="126">
        <f t="shared" si="56"/>
        <v>28986018.442553326</v>
      </c>
    </row>
    <row r="84" spans="1:117" ht="15.75" customHeight="1" x14ac:dyDescent="0.25">
      <c r="A84" s="91"/>
      <c r="B84" s="116">
        <v>60</v>
      </c>
      <c r="C84" s="117" t="s">
        <v>256</v>
      </c>
      <c r="D84" s="161" t="s">
        <v>257</v>
      </c>
      <c r="E84" s="95">
        <v>28004</v>
      </c>
      <c r="F84" s="96">
        <v>29405</v>
      </c>
      <c r="G84" s="119">
        <v>2.2599999999999998</v>
      </c>
      <c r="H84" s="107">
        <v>1</v>
      </c>
      <c r="I84" s="108"/>
      <c r="J84" s="108"/>
      <c r="K84" s="108"/>
      <c r="L84" s="63"/>
      <c r="M84" s="120">
        <v>1.4</v>
      </c>
      <c r="N84" s="120">
        <v>1.68</v>
      </c>
      <c r="O84" s="120">
        <v>2.23</v>
      </c>
      <c r="P84" s="121">
        <v>2.57</v>
      </c>
      <c r="Q84" s="122"/>
      <c r="R84" s="123">
        <f>(Q84/12*2*$E84*$G84*$H84*$M84*$R$11)+(Q84/12*10*$F84*$G84*$H84*$M84*$R$11)</f>
        <v>0</v>
      </c>
      <c r="S84" s="124">
        <v>2</v>
      </c>
      <c r="T84" s="125">
        <f>(S84/12*2*$E84*$G84*$H84*$M84*$R$11)+(S84/12*10*$F84*$G84*$H84*$M84*$R$11)</f>
        <v>203056.97719999996</v>
      </c>
      <c r="U84" s="123">
        <v>90</v>
      </c>
      <c r="V84" s="123">
        <f>(U84/12*2*$E84*$G84*$H84*$M84*$V$11)+(U84/12*10*$F84*$G84*$H84*$M84*$V$12)</f>
        <v>11141180.420999996</v>
      </c>
      <c r="W84" s="123"/>
      <c r="X84" s="126">
        <f>(W84/12*2*$E84*$G84*$H84*$M84*$X$11)+(W84/12*10*$F84*$G84*$H84*$M84*$X$12)</f>
        <v>0</v>
      </c>
      <c r="Y84" s="123"/>
      <c r="Z84" s="123">
        <f>(Y84/12*2*$E84*$G84*$H84*$M84*$Z$11)+(Y84/12*10*$F84*$G84*$H84*$M84*$Z$12)</f>
        <v>0</v>
      </c>
      <c r="AA84" s="123"/>
      <c r="AB84" s="123">
        <f>(AA84/12*2*$E84*$G84*$H84*$M84*$AB$11)+(AA84/12*10*$F84*$G84*$H84*$M84*$AB$11)</f>
        <v>0</v>
      </c>
      <c r="AC84" s="123"/>
      <c r="AD84" s="123"/>
      <c r="AE84" s="123"/>
      <c r="AF84" s="123">
        <f>(AE84/12*2*$E84*$G84*$H84*$M84*$AF$11)+(AE84/12*10*$F84*$G84*$H84*$M84*$AF$11)</f>
        <v>0</v>
      </c>
      <c r="AG84" s="123"/>
      <c r="AH84" s="126">
        <f>(AG84/12*2*$E84*$G84*$H84*$M84*$AH$11)+(AG84/12*10*$F84*$G84*$H84*$M84*$AH$11)</f>
        <v>0</v>
      </c>
      <c r="AI84" s="123"/>
      <c r="AJ84" s="123">
        <f t="shared" si="54"/>
        <v>0</v>
      </c>
      <c r="AK84" s="123"/>
      <c r="AL84" s="123">
        <f t="shared" si="55"/>
        <v>0</v>
      </c>
      <c r="AM84" s="132"/>
      <c r="AN84" s="123">
        <f>(AM84/12*2*$E84*$G84*$H84*$N84*$AN$11)+(AM84/12*10*$F84*$G84*$H84*$N84*$AN$12)</f>
        <v>0</v>
      </c>
      <c r="AO84" s="130">
        <v>0</v>
      </c>
      <c r="AP84" s="127">
        <f>(AO84/12*2*$E84*$G84*$H84*$N84*$AP$11)+(AO84/12*10*$F84*$G84*$H84*$N84*$AP$11)</f>
        <v>0</v>
      </c>
      <c r="AQ84" s="127">
        <v>0</v>
      </c>
      <c r="AR84" s="127">
        <v>0</v>
      </c>
      <c r="AS84" s="123"/>
      <c r="AT84" s="123">
        <f>(AS84/12*2*$E84*$G84*$H84*$M84*$AT$11)+(AS84/12*10*$F84*$G84*$H84*$M84*$AT$11)</f>
        <v>0</v>
      </c>
      <c r="AU84" s="123"/>
      <c r="AV84" s="126">
        <f>(AU84/12*2*$E84*$G84*$H84*$M84*$AV$11)+(AU84/12*10*$F84*$G84*$H84*$M84*$AV$12)</f>
        <v>0</v>
      </c>
      <c r="AW84" s="123"/>
      <c r="AX84" s="123">
        <f>(AW84/12*2*$E84*$G84*$H84*$M84*$AX$11)+(AW84/12*10*$F84*$G84*$H84*$M84*$AX$12)</f>
        <v>0</v>
      </c>
      <c r="AY84" s="123"/>
      <c r="AZ84" s="123">
        <f>(AY84/12*2*$E84*$G84*$H84*$N84*$AZ$11)+(AY84/12*10*$F84*$G84*$H84*$N84*$AZ$11)</f>
        <v>0</v>
      </c>
      <c r="BA84" s="123"/>
      <c r="BB84" s="123">
        <f>(BA84/12*2*$E84*$G84*$H84*$N84*$BB$11)+(BA84/12*10*$F84*$G84*$H84*$N84*$BB$12)</f>
        <v>0</v>
      </c>
      <c r="BC84" s="123"/>
      <c r="BD84" s="126">
        <f>(BC84/12*2*$E84*$G84*$H84*$N84*$BD$11)+(BC84/12*10*$F84*$G84*$H84*$N84*$BD$12)</f>
        <v>0</v>
      </c>
      <c r="BE84" s="123"/>
      <c r="BF84" s="123">
        <f>(BE84/12*10*$F84*$G84*$H84*$N84*$BF$12)</f>
        <v>0</v>
      </c>
      <c r="BG84" s="123"/>
      <c r="BH84" s="123">
        <f>(BG84/12*2*$E84*$G84*$H84*$N84*$BH$11)+(BG84/12*10*$F84*$G84*$H84*$N84*$BH$11)</f>
        <v>0</v>
      </c>
      <c r="BI84" s="123"/>
      <c r="BJ84" s="126">
        <f>(BI84/12*2*$E84*$G84*$H84*$N84*$BJ$11)+(BI84/12*10*$F84*$G84*$H84*$N84*$BJ$11)</f>
        <v>0</v>
      </c>
      <c r="BK84" s="123"/>
      <c r="BL84" s="127">
        <f>(BK84/12*2*$E84*$G84*$H84*$N84*$BL$11)+(BK84/12*10*$F84*$G84*$H84*$N84*$BL$11)</f>
        <v>0</v>
      </c>
      <c r="BM84" s="123"/>
      <c r="BN84" s="123">
        <f>(BM84/12*2*$E84*$G84*$H84*$M84*$BN$11)+(BM84/12*10*$F84*$G84*$H84*$M84*$BN$11)</f>
        <v>0</v>
      </c>
      <c r="BO84" s="123"/>
      <c r="BP84" s="123">
        <f>(BO84/12*2*$E84*$G84*$H84*$M84*$BP$11)+(BO84/12*10*$F84*$G84*$H84*$M84*$BP$12)</f>
        <v>0</v>
      </c>
      <c r="BQ84" s="123"/>
      <c r="BR84" s="123">
        <f>(BQ84/12*2*$E84*$G84*$H84*$M84*$BR$11)+(BQ84/12*10*$F84*$G84*$H84*$M84*$BR$11)</f>
        <v>0</v>
      </c>
      <c r="BS84" s="123"/>
      <c r="BT84" s="123">
        <f>(BS84/12*2*$E84*$G84*$H84*$N84*$BT$11)+(BS84/12*10*$F84*$G84*$H84*$N84*$BT$11)</f>
        <v>0</v>
      </c>
      <c r="BU84" s="123"/>
      <c r="BV84" s="126">
        <f>(BU84/12*2*$E84*$G84*$H84*$M84*$BV$11)+(BU84/12*10*$F84*$G84*$H84*$M84*$BV$11)</f>
        <v>0</v>
      </c>
      <c r="BW84" s="123"/>
      <c r="BX84" s="123">
        <f>(BW84/12*2*$E84*$G84*$H84*$M84*$BX$11)+(BW84/12*10*$F84*$G84*$H84*$M84*$BX$11)</f>
        <v>0</v>
      </c>
      <c r="BY84" s="123"/>
      <c r="BZ84" s="123">
        <f>(BY84/12*2*$E84*$G84*$H84*$M84*$BZ$11)+(BY84/12*10*$F84*$G84*$H84*$M84*$BZ$11)</f>
        <v>0</v>
      </c>
      <c r="CA84" s="123"/>
      <c r="CB84" s="123">
        <f>(CA84/12*2*$E84*$G84*$H84*$M84*$CB$11)+(CA84/12*10*$F84*$G84*$H84*$M84*$CB$11)</f>
        <v>0</v>
      </c>
      <c r="CC84" s="123"/>
      <c r="CD84" s="123">
        <f>(CC84/12*2*$E84*$G84*$H84*$M84*$CD$11)+(CC84/12*10*$F84*$G84*$H84*$M84*$CD$11)</f>
        <v>0</v>
      </c>
      <c r="CE84" s="123"/>
      <c r="CF84" s="123">
        <f>(CE84/12*10*$F84*$G84*$H84*$N84*$CF$11)</f>
        <v>0</v>
      </c>
      <c r="CG84" s="132"/>
      <c r="CH84" s="123">
        <f>(CG84/12*2*$E84*$G84*$H84*$N84*$CH$11)+(CG84/12*10*$F84*$G84*$H84*$N84*$CH$11)</f>
        <v>0</v>
      </c>
      <c r="CI84" s="123"/>
      <c r="CJ84" s="127">
        <f>(CI84*$E84*$G84*$H84*$N84*CJ$11)</f>
        <v>0</v>
      </c>
      <c r="CK84" s="123"/>
      <c r="CL84" s="123">
        <f>(CK84/12*2*$E84*$G84*$H84*$N84*$CL$11)+(CK84/12*10*$F84*$G84*$H84*$N84*$CL$12)</f>
        <v>0</v>
      </c>
      <c r="CM84" s="130"/>
      <c r="CN84" s="123">
        <f>(CM84/12*2*$E84*$G84*$H84*$N84*$CN$11)+(CM84/12*10*$F84*$G84*$H84*$N84*$CN$11)</f>
        <v>0</v>
      </c>
      <c r="CO84" s="123"/>
      <c r="CP84" s="123">
        <f>(CO84/12*2*$E84*$G84*$H84*$N84*$CP$11)+(CO84/12*10*$F84*$G84*$H84*$N84*$CP$11)</f>
        <v>0</v>
      </c>
      <c r="CQ84" s="123"/>
      <c r="CR84" s="123">
        <f>(CQ84/12*2*$E84*$G84*$H84*$O84*$CR$11)+(CQ84/12*10*$F84*$G84*$H84*$O84*$CR$11)</f>
        <v>0</v>
      </c>
      <c r="CS84" s="123"/>
      <c r="CT84" s="133">
        <f>(CS84/12*2*$E84*$G84*$H84*$P84*$CT$11)+(CS84/12*10*$F84*$G84*$H84*$P84*$CT$11)</f>
        <v>0</v>
      </c>
      <c r="CU84" s="127"/>
      <c r="CV84" s="127"/>
      <c r="CW84" s="126">
        <f t="shared" si="56"/>
        <v>92</v>
      </c>
      <c r="CX84" s="126">
        <f t="shared" si="56"/>
        <v>11344237.398199996</v>
      </c>
    </row>
    <row r="85" spans="1:117" ht="30" customHeight="1" x14ac:dyDescent="0.25">
      <c r="A85" s="91"/>
      <c r="B85" s="116">
        <v>61</v>
      </c>
      <c r="C85" s="117" t="s">
        <v>258</v>
      </c>
      <c r="D85" s="161" t="s">
        <v>259</v>
      </c>
      <c r="E85" s="95">
        <v>28004</v>
      </c>
      <c r="F85" s="96">
        <v>29405</v>
      </c>
      <c r="G85" s="119">
        <v>1.38</v>
      </c>
      <c r="H85" s="107">
        <v>1</v>
      </c>
      <c r="I85" s="108"/>
      <c r="J85" s="108"/>
      <c r="K85" s="108"/>
      <c r="L85" s="63"/>
      <c r="M85" s="120">
        <v>1.4</v>
      </c>
      <c r="N85" s="120">
        <v>1.68</v>
      </c>
      <c r="O85" s="120">
        <v>2.23</v>
      </c>
      <c r="P85" s="121">
        <v>2.57</v>
      </c>
      <c r="Q85" s="122"/>
      <c r="R85" s="123">
        <f>(Q85/12*2*$E85*$G85*$H85*$M85*$R$11)+(Q85/12*10*$F85*$G85*$H85*$M85*$R$11)</f>
        <v>0</v>
      </c>
      <c r="S85" s="124"/>
      <c r="T85" s="125">
        <f>(S85/12*2*$E85*$G85*$H85*$M85*$R$11)+(S85/12*10*$F85*$G85*$H85*$M85*$R$11)</f>
        <v>0</v>
      </c>
      <c r="U85" s="123">
        <v>116</v>
      </c>
      <c r="V85" s="123">
        <f>(U85/12*2*$E85*$G85*$H85*$M85*$V$11)+(U85/12*10*$F85*$G85*$H85*$M85*$V$12)</f>
        <v>8768339.0451999977</v>
      </c>
      <c r="W85" s="123"/>
      <c r="X85" s="126">
        <f>(W85/12*2*$E85*$G85*$H85*$M85*$X$11)+(W85/12*10*$F85*$G85*$H85*$M85*$X$12)</f>
        <v>0</v>
      </c>
      <c r="Y85" s="123"/>
      <c r="Z85" s="123">
        <f>(Y85/12*2*$E85*$G85*$H85*$M85*$Z$11)+(Y85/12*10*$F85*$G85*$H85*$M85*$Z$12)</f>
        <v>0</v>
      </c>
      <c r="AA85" s="123"/>
      <c r="AB85" s="123">
        <f>(AA85/12*2*$E85*$G85*$H85*$M85*$AB$11)+(AA85/12*10*$F85*$G85*$H85*$M85*$AB$11)</f>
        <v>0</v>
      </c>
      <c r="AC85" s="123"/>
      <c r="AD85" s="123"/>
      <c r="AE85" s="123"/>
      <c r="AF85" s="123">
        <f>(AE85/12*2*$E85*$G85*$H85*$M85*$AF$11)+(AE85/12*10*$F85*$G85*$H85*$M85*$AF$11)</f>
        <v>0</v>
      </c>
      <c r="AG85" s="123"/>
      <c r="AH85" s="126">
        <f>(AG85/12*2*$E85*$G85*$H85*$M85*$AH$11)+(AG85/12*10*$F85*$G85*$H85*$M85*$AH$11)</f>
        <v>0</v>
      </c>
      <c r="AI85" s="123"/>
      <c r="AJ85" s="123">
        <f t="shared" si="54"/>
        <v>0</v>
      </c>
      <c r="AK85" s="123"/>
      <c r="AL85" s="123">
        <f t="shared" si="55"/>
        <v>0</v>
      </c>
      <c r="AM85" s="132"/>
      <c r="AN85" s="123">
        <f>(AM85/12*2*$E85*$G85*$H85*$N85*$AN$11)+(AM85/12*10*$F85*$G85*$H85*$N85*$AN$12)</f>
        <v>0</v>
      </c>
      <c r="AO85" s="130"/>
      <c r="AP85" s="127">
        <f>(AO85/12*2*$E85*$G85*$H85*$N85*$AP$11)+(AO85/12*10*$F85*$G85*$H85*$N85*$AP$11)</f>
        <v>0</v>
      </c>
      <c r="AQ85" s="127">
        <v>0</v>
      </c>
      <c r="AR85" s="127">
        <v>0</v>
      </c>
      <c r="AS85" s="123"/>
      <c r="AT85" s="123">
        <f>(AS85/12*2*$E85*$G85*$H85*$M85*$AT$11)+(AS85/12*10*$F85*$G85*$H85*$M85*$AT$11)</f>
        <v>0</v>
      </c>
      <c r="AU85" s="123"/>
      <c r="AV85" s="126">
        <f>(AU85/12*2*$E85*$G85*$H85*$M85*$AV$11)+(AU85/12*10*$F85*$G85*$H85*$M85*$AV$12)</f>
        <v>0</v>
      </c>
      <c r="AW85" s="123"/>
      <c r="AX85" s="123">
        <f>(AW85/12*2*$E85*$G85*$H85*$M85*$AX$11)+(AW85/12*10*$F85*$G85*$H85*$M85*$AX$12)</f>
        <v>0</v>
      </c>
      <c r="AY85" s="123"/>
      <c r="AZ85" s="123">
        <f>(AY85/12*2*$E85*$G85*$H85*$N85*$AZ$11)+(AY85/12*10*$F85*$G85*$H85*$N85*$AZ$11)</f>
        <v>0</v>
      </c>
      <c r="BA85" s="123"/>
      <c r="BB85" s="123">
        <f>(BA85/12*2*$E85*$G85*$H85*$N85*$BB$11)+(BA85/12*10*$F85*$G85*$H85*$N85*$BB$12)</f>
        <v>0</v>
      </c>
      <c r="BC85" s="123"/>
      <c r="BD85" s="126">
        <f>(BC85/12*2*$E85*$G85*$H85*$N85*$BD$11)+(BC85/12*10*$F85*$G85*$H85*$N85*$BD$12)</f>
        <v>0</v>
      </c>
      <c r="BE85" s="123"/>
      <c r="BF85" s="123">
        <f>(BE85/12*10*$F85*$G85*$H85*$N85*$BF$12)</f>
        <v>0</v>
      </c>
      <c r="BG85" s="123"/>
      <c r="BH85" s="123">
        <f>(BG85/12*2*$E85*$G85*$H85*$N85*$BH$11)+(BG85/12*10*$F85*$G85*$H85*$N85*$BH$11)</f>
        <v>0</v>
      </c>
      <c r="BI85" s="123"/>
      <c r="BJ85" s="126">
        <f>(BI85/12*2*$E85*$G85*$H85*$N85*$BJ$11)+(BI85/12*10*$F85*$G85*$H85*$N85*$BJ$11)</f>
        <v>0</v>
      </c>
      <c r="BK85" s="123">
        <v>1</v>
      </c>
      <c r="BL85" s="127">
        <f>(BK85/12*2*$E85*$G85*$H85*$N85*$BL$11)+(BK85/12*10*$F85*$G85*$H85*$N85*$BL$11)</f>
        <v>81157.446719999978</v>
      </c>
      <c r="BM85" s="123"/>
      <c r="BN85" s="123">
        <f>(BM85/12*2*$E85*$G85*$H85*$M85*$BN$11)+(BM85/12*10*$F85*$G85*$H85*$M85*$BN$11)</f>
        <v>0</v>
      </c>
      <c r="BO85" s="123"/>
      <c r="BP85" s="123">
        <f>(BO85/12*2*$E85*$G85*$H85*$M85*$BP$11)+(BO85/12*10*$F85*$G85*$H85*$M85*$BP$12)</f>
        <v>0</v>
      </c>
      <c r="BQ85" s="123"/>
      <c r="BR85" s="123">
        <f>(BQ85/12*2*$E85*$G85*$H85*$M85*$BR$11)+(BQ85/12*10*$F85*$G85*$H85*$M85*$BR$11)</f>
        <v>0</v>
      </c>
      <c r="BS85" s="123">
        <v>1</v>
      </c>
      <c r="BT85" s="123">
        <f>(BS85/12*2*$E85*$G85*$H85*$N85*$BT$11)+(BS85/12*10*$F85*$G85*$H85*$N85*$BT$11)</f>
        <v>67631.205599999987</v>
      </c>
      <c r="BU85" s="123"/>
      <c r="BV85" s="126">
        <f>(BU85/12*2*$E85*$G85*$H85*$M85*$BV$11)+(BU85/12*10*$F85*$G85*$H85*$M85*$BV$11)</f>
        <v>0</v>
      </c>
      <c r="BW85" s="123"/>
      <c r="BX85" s="123">
        <f>(BW85/12*2*$E85*$G85*$H85*$M85*$BX$11)+(BW85/12*10*$F85*$G85*$H85*$M85*$BX$11)</f>
        <v>0</v>
      </c>
      <c r="BY85" s="123"/>
      <c r="BZ85" s="123">
        <f>(BY85/12*2*$E85*$G85*$H85*$M85*$BZ$11)+(BY85/12*10*$F85*$G85*$H85*$M85*$BZ$11)</f>
        <v>0</v>
      </c>
      <c r="CA85" s="123"/>
      <c r="CB85" s="123">
        <f>(CA85/12*2*$E85*$G85*$H85*$M85*$CB$11)+(CA85/12*10*$F85*$G85*$H85*$M85*$CB$11)</f>
        <v>0</v>
      </c>
      <c r="CC85" s="123"/>
      <c r="CD85" s="123">
        <f>(CC85/12*2*$E85*$G85*$H85*$M85*$CD$11)+(CC85/12*10*$F85*$G85*$H85*$M85*$CD$11)</f>
        <v>0</v>
      </c>
      <c r="CE85" s="123"/>
      <c r="CF85" s="123">
        <f>(CE85/12*10*$F85*$G85*$H85*$N85*$CF$11)</f>
        <v>0</v>
      </c>
      <c r="CG85" s="132"/>
      <c r="CH85" s="123">
        <f>(CG85/12*2*$E85*$G85*$H85*$N85*$CH$11)+(CG85/12*10*$F85*$G85*$H85*$N85*$CH$11)</f>
        <v>0</v>
      </c>
      <c r="CI85" s="123"/>
      <c r="CJ85" s="127">
        <f>(CI85*$E85*$G85*$H85*$N85*CJ$11)</f>
        <v>0</v>
      </c>
      <c r="CK85" s="123"/>
      <c r="CL85" s="123">
        <f>(CK85/12*2*$E85*$G85*$H85*$N85*$CL$11)+(CK85/12*10*$F85*$G85*$H85*$N85*$CL$12)</f>
        <v>0</v>
      </c>
      <c r="CM85" s="130"/>
      <c r="CN85" s="123">
        <f>(CM85/12*2*$E85*$G85*$H85*$N85*$CN$11)+(CM85/12*10*$F85*$G85*$H85*$N85*$CN$11)</f>
        <v>0</v>
      </c>
      <c r="CO85" s="123">
        <v>1</v>
      </c>
      <c r="CP85" s="123">
        <v>68172.55</v>
      </c>
      <c r="CQ85" s="123"/>
      <c r="CR85" s="123">
        <f>(CQ85/12*2*$E85*$G85*$H85*$O85*$CR$11)+(CQ85/12*10*$F85*$G85*$H85*$O85*$CR$11)</f>
        <v>0</v>
      </c>
      <c r="CS85" s="123"/>
      <c r="CT85" s="133">
        <f>(CS85/12*2*$E85*$G85*$H85*$P85*$CT$11)+(CS85/12*10*$F85*$G85*$H85*$P85*$CT$11)</f>
        <v>0</v>
      </c>
      <c r="CU85" s="123"/>
      <c r="CV85" s="123"/>
      <c r="CW85" s="126">
        <f t="shared" si="56"/>
        <v>119</v>
      </c>
      <c r="CX85" s="126">
        <f t="shared" si="56"/>
        <v>8985300.2475199997</v>
      </c>
    </row>
    <row r="86" spans="1:117" ht="30" customHeight="1" x14ac:dyDescent="0.25">
      <c r="A86" s="91"/>
      <c r="B86" s="116">
        <v>62</v>
      </c>
      <c r="C86" s="117" t="s">
        <v>260</v>
      </c>
      <c r="D86" s="161" t="s">
        <v>261</v>
      </c>
      <c r="E86" s="95">
        <v>28004</v>
      </c>
      <c r="F86" s="96">
        <v>29405</v>
      </c>
      <c r="G86" s="119">
        <v>2.82</v>
      </c>
      <c r="H86" s="107">
        <v>1</v>
      </c>
      <c r="I86" s="108"/>
      <c r="J86" s="108"/>
      <c r="K86" s="108"/>
      <c r="L86" s="63"/>
      <c r="M86" s="120">
        <v>1.4</v>
      </c>
      <c r="N86" s="120">
        <v>1.68</v>
      </c>
      <c r="O86" s="120">
        <v>2.23</v>
      </c>
      <c r="P86" s="121">
        <v>2.57</v>
      </c>
      <c r="Q86" s="122"/>
      <c r="R86" s="123">
        <f>(Q86/12*2*$E86*$G86*$H86*$M86*$R$11)+(Q86/12*10*$F86*$G86*$H86*$M86*$R$11)</f>
        <v>0</v>
      </c>
      <c r="S86" s="124"/>
      <c r="T86" s="125">
        <f>(S86/12*2*$E86*$G86*$H86*$M86*$R$11)+(S86/12*10*$F86*$G86*$H86*$M86*$R$11)</f>
        <v>0</v>
      </c>
      <c r="U86" s="123">
        <v>20</v>
      </c>
      <c r="V86" s="123">
        <f>(U86/12*2*$E86*$G86*$H86*$M86*$V$11)+(U86/12*10*$F86*$G86*$H86*$M86*$V$12)</f>
        <v>3089294.8659999999</v>
      </c>
      <c r="W86" s="123"/>
      <c r="X86" s="126">
        <f>(W86/12*2*$E86*$G86*$H86*$M86*$X$11)+(W86/12*10*$F86*$G86*$H86*$M86*$X$12)</f>
        <v>0</v>
      </c>
      <c r="Y86" s="123"/>
      <c r="Z86" s="123">
        <f>(Y86/12*2*$E86*$G86*$H86*$M86*$Z$11)+(Y86/12*10*$F86*$G86*$H86*$M86*$Z$12)</f>
        <v>0</v>
      </c>
      <c r="AA86" s="123"/>
      <c r="AB86" s="123">
        <f>(AA86/12*2*$E86*$G86*$H86*$M86*$AB$11)+(AA86/12*10*$F86*$G86*$H86*$M86*$AB$11)</f>
        <v>0</v>
      </c>
      <c r="AC86" s="123"/>
      <c r="AD86" s="123"/>
      <c r="AE86" s="123"/>
      <c r="AF86" s="123">
        <f>(AE86/12*2*$E86*$G86*$H86*$M86*$AF$11)+(AE86/12*10*$F86*$G86*$H86*$M86*$AF$11)</f>
        <v>0</v>
      </c>
      <c r="AG86" s="123"/>
      <c r="AH86" s="126">
        <f>(AG86/12*2*$E86*$G86*$H86*$M86*$AH$11)+(AG86/12*10*$F86*$G86*$H86*$M86*$AH$11)</f>
        <v>0</v>
      </c>
      <c r="AI86" s="123"/>
      <c r="AJ86" s="123">
        <f t="shared" si="54"/>
        <v>0</v>
      </c>
      <c r="AK86" s="123"/>
      <c r="AL86" s="123">
        <f t="shared" si="55"/>
        <v>0</v>
      </c>
      <c r="AM86" s="132"/>
      <c r="AN86" s="123">
        <f>(AM86/12*2*$E86*$G86*$H86*$N86*$AN$11)+(AM86/12*10*$F86*$G86*$H86*$N86*$AN$12)</f>
        <v>0</v>
      </c>
      <c r="AO86" s="130"/>
      <c r="AP86" s="127">
        <f>(AO86/12*2*$E86*$G86*$H86*$N86*$AP$11)+(AO86/12*10*$F86*$G86*$H86*$N86*$AP$11)</f>
        <v>0</v>
      </c>
      <c r="AQ86" s="127">
        <v>0</v>
      </c>
      <c r="AR86" s="127">
        <v>0</v>
      </c>
      <c r="AS86" s="123"/>
      <c r="AT86" s="123">
        <f>(AS86/12*2*$E86*$G86*$H86*$M86*$AT$11)+(AS86/12*10*$F86*$G86*$H86*$M86*$AT$11)</f>
        <v>0</v>
      </c>
      <c r="AU86" s="123"/>
      <c r="AV86" s="126">
        <f>(AU86/12*2*$E86*$G86*$H86*$M86*$AV$11)+(AU86/12*10*$F86*$G86*$H86*$M86*$AV$12)</f>
        <v>0</v>
      </c>
      <c r="AW86" s="123"/>
      <c r="AX86" s="123">
        <f>(AW86/12*2*$E86*$G86*$H86*$M86*$AX$11)+(AW86/12*10*$F86*$G86*$H86*$M86*$AX$12)</f>
        <v>0</v>
      </c>
      <c r="AY86" s="131"/>
      <c r="AZ86" s="123">
        <f>(AY86/12*2*$E86*$G86*$H86*$N86*$AZ$11)+(AY86/12*10*$F86*$G86*$H86*$N86*$AZ$11)</f>
        <v>0</v>
      </c>
      <c r="BA86" s="123"/>
      <c r="BB86" s="123">
        <f>(BA86/12*2*$E86*$G86*$H86*$N86*$BB$11)+(BA86/12*10*$F86*$G86*$H86*$N86*$BB$12)</f>
        <v>0</v>
      </c>
      <c r="BC86" s="123"/>
      <c r="BD86" s="126">
        <f>(BC86/12*2*$E86*$G86*$H86*$N86*$BD$11)+(BC86/12*10*$F86*$G86*$H86*$N86*$BD$12)</f>
        <v>0</v>
      </c>
      <c r="BE86" s="123"/>
      <c r="BF86" s="123">
        <f>(BE86/12*10*$F86*$G86*$H86*$N86*$BF$12)</f>
        <v>0</v>
      </c>
      <c r="BG86" s="123">
        <v>1</v>
      </c>
      <c r="BH86" s="123">
        <f>(BG86/12*2*$E86*$G86*$H86*$N86*$BH$11)+(BG86/12*10*$F86*$G86*$H86*$N86*$BH$11)</f>
        <v>124382.60855999998</v>
      </c>
      <c r="BI86" s="123"/>
      <c r="BJ86" s="126">
        <f>(BI86/12*2*$E86*$G86*$H86*$N86*$BJ$11)+(BI86/12*10*$F86*$G86*$H86*$N86*$BJ$11)</f>
        <v>0</v>
      </c>
      <c r="BK86" s="123">
        <v>1</v>
      </c>
      <c r="BL86" s="127">
        <f>(BK86/12*2*$E86*$G86*$H86*$N86*$BL$11)+(BK86/12*10*$F86*$G86*$H86*$N86*$BL$11)</f>
        <v>165843.47807999997</v>
      </c>
      <c r="BM86" s="123"/>
      <c r="BN86" s="123">
        <f>(BM86/12*2*$E86*$G86*$H86*$M86*$BN$11)+(BM86/12*10*$F86*$G86*$H86*$M86*$BN$11)</f>
        <v>0</v>
      </c>
      <c r="BO86" s="123"/>
      <c r="BP86" s="123">
        <f>(BO86/12*2*$E86*$G86*$H86*$M86*$BP$11)+(BO86/12*10*$F86*$G86*$H86*$M86*$BP$12)</f>
        <v>0</v>
      </c>
      <c r="BQ86" s="123"/>
      <c r="BR86" s="123">
        <f>(BQ86/12*2*$E86*$G86*$H86*$M86*$BR$11)+(BQ86/12*10*$F86*$G86*$H86*$M86*$BR$11)</f>
        <v>0</v>
      </c>
      <c r="BS86" s="123"/>
      <c r="BT86" s="123">
        <f>(BS86/12*2*$E86*$G86*$H86*$N86*$BT$11)+(BS86/12*10*$F86*$G86*$H86*$N86*$BT$11)</f>
        <v>0</v>
      </c>
      <c r="BU86" s="123"/>
      <c r="BV86" s="126">
        <f>(BU86/12*2*$E86*$G86*$H86*$M86*$BV$11)+(BU86/12*10*$F86*$G86*$H86*$M86*$BV$11)</f>
        <v>0</v>
      </c>
      <c r="BW86" s="123"/>
      <c r="BX86" s="123">
        <f>(BW86/12*2*$E86*$G86*$H86*$M86*$BX$11)+(BW86/12*10*$F86*$G86*$H86*$M86*$BX$11)</f>
        <v>0</v>
      </c>
      <c r="BY86" s="123"/>
      <c r="BZ86" s="123">
        <f>(BY86/12*2*$E86*$G86*$H86*$M86*$BZ$11)+(BY86/12*10*$F86*$G86*$H86*$M86*$BZ$11)</f>
        <v>0</v>
      </c>
      <c r="CA86" s="123"/>
      <c r="CB86" s="123">
        <f>(CA86/12*2*$E86*$G86*$H86*$M86*$CB$11)+(CA86/12*10*$F86*$G86*$H86*$M86*$CB$11)</f>
        <v>0</v>
      </c>
      <c r="CC86" s="123"/>
      <c r="CD86" s="123">
        <f>(CC86/12*2*$E86*$G86*$H86*$M86*$CD$11)+(CC86/12*10*$F86*$G86*$H86*$M86*$CD$11)</f>
        <v>0</v>
      </c>
      <c r="CE86" s="123"/>
      <c r="CF86" s="123">
        <f>(CE86/12*10*$F86*$G86*$H86*$N86*$CF$11)</f>
        <v>0</v>
      </c>
      <c r="CG86" s="132"/>
      <c r="CH86" s="123">
        <f>(CG86/12*2*$E86*$G86*$H86*$N86*$CH$11)+(CG86/12*10*$F86*$G86*$H86*$N86*$CH$11)</f>
        <v>0</v>
      </c>
      <c r="CI86" s="123"/>
      <c r="CJ86" s="127">
        <f>(CI86*$E86*$G86*$H86*$N86*CJ$11)</f>
        <v>0</v>
      </c>
      <c r="CK86" s="123"/>
      <c r="CL86" s="123">
        <f>(CK86/12*2*$E86*$G86*$H86*$N86*$CL$11)+(CK86/12*10*$F86*$G86*$H86*$N86*$CL$12)</f>
        <v>0</v>
      </c>
      <c r="CM86" s="130"/>
      <c r="CN86" s="123">
        <f>(CM86/12*2*$E86*$G86*$H86*$N86*$CN$11)+(CM86/12*10*$F86*$G86*$H86*$N86*$CN$11)</f>
        <v>0</v>
      </c>
      <c r="CO86" s="123"/>
      <c r="CP86" s="123">
        <f>(CO86/12*2*$E86*$G86*$H86*$N86*$CP$11)+(CO86/12*10*$F86*$G86*$H86*$N86*$CP$11)</f>
        <v>0</v>
      </c>
      <c r="CQ86" s="123"/>
      <c r="CR86" s="123">
        <f>(CQ86/12*2*$E86*$G86*$H86*$O86*$CR$11)+(CQ86/12*10*$F86*$G86*$H86*$O86*$CR$11)</f>
        <v>0</v>
      </c>
      <c r="CS86" s="123"/>
      <c r="CT86" s="133">
        <f>(CS86/12*2*$E86*$G86*$H86*$P86*$CT$11)+(CS86/12*10*$F86*$G86*$H86*$P86*$CT$11)</f>
        <v>0</v>
      </c>
      <c r="CU86" s="123"/>
      <c r="CV86" s="123"/>
      <c r="CW86" s="126">
        <f t="shared" si="56"/>
        <v>22</v>
      </c>
      <c r="CX86" s="126">
        <f t="shared" si="56"/>
        <v>3379520.9526399998</v>
      </c>
    </row>
    <row r="87" spans="1:117" ht="15.75" customHeight="1" x14ac:dyDescent="0.25">
      <c r="A87" s="109">
        <v>12</v>
      </c>
      <c r="B87" s="150"/>
      <c r="C87" s="93" t="s">
        <v>262</v>
      </c>
      <c r="D87" s="164" t="s">
        <v>263</v>
      </c>
      <c r="E87" s="95">
        <v>28004</v>
      </c>
      <c r="F87" s="96">
        <v>29405</v>
      </c>
      <c r="G87" s="151">
        <v>0.65</v>
      </c>
      <c r="H87" s="166"/>
      <c r="I87" s="108"/>
      <c r="J87" s="108"/>
      <c r="K87" s="108"/>
      <c r="L87" s="111"/>
      <c r="M87" s="112">
        <v>1.4</v>
      </c>
      <c r="N87" s="112">
        <v>1.68</v>
      </c>
      <c r="O87" s="112">
        <v>2.23</v>
      </c>
      <c r="P87" s="113">
        <v>2.57</v>
      </c>
      <c r="Q87" s="103">
        <f>SUM(Q88:Q106)</f>
        <v>92</v>
      </c>
      <c r="R87" s="104">
        <f>SUM(R88:R106)</f>
        <v>5024181.2161566671</v>
      </c>
      <c r="S87" s="114">
        <f t="shared" ref="S87:CD87" si="57">SUM(S88:S106)</f>
        <v>11</v>
      </c>
      <c r="T87" s="115">
        <f t="shared" si="57"/>
        <v>623974.24679333321</v>
      </c>
      <c r="U87" s="104">
        <f t="shared" si="57"/>
        <v>4302</v>
      </c>
      <c r="V87" s="104">
        <f t="shared" si="57"/>
        <v>163776131.73612452</v>
      </c>
      <c r="W87" s="104">
        <f t="shared" si="57"/>
        <v>0</v>
      </c>
      <c r="X87" s="104">
        <f t="shared" si="57"/>
        <v>0</v>
      </c>
      <c r="Y87" s="104">
        <f t="shared" si="57"/>
        <v>0</v>
      </c>
      <c r="Z87" s="104">
        <f t="shared" si="57"/>
        <v>0</v>
      </c>
      <c r="AA87" s="104">
        <f t="shared" si="57"/>
        <v>0</v>
      </c>
      <c r="AB87" s="104">
        <f t="shared" si="57"/>
        <v>0</v>
      </c>
      <c r="AC87" s="104">
        <f t="shared" si="57"/>
        <v>0</v>
      </c>
      <c r="AD87" s="104">
        <f t="shared" si="57"/>
        <v>0</v>
      </c>
      <c r="AE87" s="104">
        <f t="shared" si="57"/>
        <v>71</v>
      </c>
      <c r="AF87" s="105">
        <f t="shared" si="57"/>
        <v>7590377.6256000008</v>
      </c>
      <c r="AG87" s="167">
        <f t="shared" si="57"/>
        <v>2148</v>
      </c>
      <c r="AH87" s="104">
        <f t="shared" si="57"/>
        <v>120075907.88573858</v>
      </c>
      <c r="AI87" s="106">
        <f t="shared" si="57"/>
        <v>15</v>
      </c>
      <c r="AJ87" s="104">
        <f t="shared" si="57"/>
        <v>1484887.1122866666</v>
      </c>
      <c r="AK87" s="104">
        <f t="shared" si="57"/>
        <v>32</v>
      </c>
      <c r="AL87" s="104">
        <f t="shared" si="57"/>
        <v>4587904.4490719996</v>
      </c>
      <c r="AM87" s="104">
        <f t="shared" si="57"/>
        <v>0</v>
      </c>
      <c r="AN87" s="104">
        <f t="shared" si="57"/>
        <v>0</v>
      </c>
      <c r="AO87" s="106">
        <f t="shared" si="57"/>
        <v>10</v>
      </c>
      <c r="AP87" s="104">
        <f t="shared" si="57"/>
        <v>443262.94720400003</v>
      </c>
      <c r="AQ87" s="104">
        <v>19</v>
      </c>
      <c r="AR87" s="104">
        <v>411337.98000000004</v>
      </c>
      <c r="AS87" s="104">
        <f t="shared" si="57"/>
        <v>0</v>
      </c>
      <c r="AT87" s="104">
        <f t="shared" si="57"/>
        <v>0</v>
      </c>
      <c r="AU87" s="104">
        <f t="shared" si="57"/>
        <v>0</v>
      </c>
      <c r="AV87" s="104">
        <f t="shared" si="57"/>
        <v>0</v>
      </c>
      <c r="AW87" s="104">
        <f t="shared" si="57"/>
        <v>5</v>
      </c>
      <c r="AX87" s="104">
        <f t="shared" si="57"/>
        <v>261912.15196999995</v>
      </c>
      <c r="AY87" s="104">
        <f t="shared" si="57"/>
        <v>4456</v>
      </c>
      <c r="AZ87" s="104">
        <f t="shared" si="57"/>
        <v>201477555.20635971</v>
      </c>
      <c r="BA87" s="104">
        <f t="shared" si="57"/>
        <v>250</v>
      </c>
      <c r="BB87" s="104">
        <f t="shared" si="57"/>
        <v>5920179.9999999991</v>
      </c>
      <c r="BC87" s="104">
        <f t="shared" si="57"/>
        <v>0</v>
      </c>
      <c r="BD87" s="104">
        <f t="shared" si="57"/>
        <v>0</v>
      </c>
      <c r="BE87" s="104">
        <f t="shared" si="57"/>
        <v>108</v>
      </c>
      <c r="BF87" s="104">
        <f t="shared" si="57"/>
        <v>2388509.34</v>
      </c>
      <c r="BG87" s="104">
        <f t="shared" si="57"/>
        <v>111</v>
      </c>
      <c r="BH87" s="104">
        <f t="shared" si="57"/>
        <v>2488308.4689119998</v>
      </c>
      <c r="BI87" s="104">
        <f t="shared" si="57"/>
        <v>553</v>
      </c>
      <c r="BJ87" s="104">
        <f t="shared" si="57"/>
        <v>19164432.265103996</v>
      </c>
      <c r="BK87" s="104">
        <f t="shared" si="57"/>
        <v>253</v>
      </c>
      <c r="BL87" s="104">
        <f t="shared" si="57"/>
        <v>7483238.7927360004</v>
      </c>
      <c r="BM87" s="104">
        <f t="shared" si="57"/>
        <v>6</v>
      </c>
      <c r="BN87" s="104">
        <f t="shared" si="57"/>
        <v>122520.3</v>
      </c>
      <c r="BO87" s="104">
        <f t="shared" si="57"/>
        <v>28</v>
      </c>
      <c r="BP87" s="104">
        <f t="shared" si="57"/>
        <v>998876.08799999987</v>
      </c>
      <c r="BQ87" s="104">
        <f t="shared" si="57"/>
        <v>0</v>
      </c>
      <c r="BR87" s="104">
        <f t="shared" si="57"/>
        <v>0</v>
      </c>
      <c r="BS87" s="104">
        <f t="shared" si="57"/>
        <v>374</v>
      </c>
      <c r="BT87" s="104">
        <f t="shared" si="57"/>
        <v>10650983.463399999</v>
      </c>
      <c r="BU87" s="104">
        <f t="shared" si="57"/>
        <v>0</v>
      </c>
      <c r="BV87" s="104">
        <f t="shared" si="57"/>
        <v>0</v>
      </c>
      <c r="BW87" s="104">
        <f t="shared" si="57"/>
        <v>0</v>
      </c>
      <c r="BX87" s="104">
        <f t="shared" si="57"/>
        <v>0</v>
      </c>
      <c r="BY87" s="104">
        <f t="shared" si="57"/>
        <v>537</v>
      </c>
      <c r="BZ87" s="104">
        <f t="shared" si="57"/>
        <v>13340578.599599998</v>
      </c>
      <c r="CA87" s="104">
        <f t="shared" si="57"/>
        <v>830</v>
      </c>
      <c r="CB87" s="104">
        <f>SUM(CB88:CB106)</f>
        <v>27343261.950587161</v>
      </c>
      <c r="CC87" s="104">
        <f t="shared" si="57"/>
        <v>480</v>
      </c>
      <c r="CD87" s="104">
        <f t="shared" si="57"/>
        <v>11098726.522099998</v>
      </c>
      <c r="CE87" s="104">
        <f t="shared" ref="CE87:CW87" si="58">SUM(CE88:CE106)</f>
        <v>501</v>
      </c>
      <c r="CF87" s="104">
        <f t="shared" si="58"/>
        <v>12793457.157336</v>
      </c>
      <c r="CG87" s="104">
        <f t="shared" si="58"/>
        <v>404</v>
      </c>
      <c r="CH87" s="104">
        <f t="shared" si="58"/>
        <v>9112128.7597199995</v>
      </c>
      <c r="CI87" s="104">
        <f t="shared" si="58"/>
        <v>0</v>
      </c>
      <c r="CJ87" s="104">
        <f t="shared" si="58"/>
        <v>0</v>
      </c>
      <c r="CK87" s="104">
        <f t="shared" si="58"/>
        <v>509</v>
      </c>
      <c r="CL87" s="104">
        <f t="shared" si="58"/>
        <v>13030255.69538</v>
      </c>
      <c r="CM87" s="104">
        <f t="shared" si="58"/>
        <v>35</v>
      </c>
      <c r="CN87" s="104">
        <f t="shared" si="58"/>
        <v>1188566.47924</v>
      </c>
      <c r="CO87" s="104">
        <f t="shared" si="58"/>
        <v>258</v>
      </c>
      <c r="CP87" s="104">
        <f t="shared" si="58"/>
        <v>2537476.8899999983</v>
      </c>
      <c r="CQ87" s="104">
        <f t="shared" si="58"/>
        <v>130</v>
      </c>
      <c r="CR87" s="104">
        <f t="shared" si="58"/>
        <v>4366606.1988166664</v>
      </c>
      <c r="CS87" s="104">
        <f t="shared" si="58"/>
        <v>270</v>
      </c>
      <c r="CT87" s="104">
        <f t="shared" si="58"/>
        <v>10496637.349873334</v>
      </c>
      <c r="CU87" s="104">
        <f t="shared" si="58"/>
        <v>0</v>
      </c>
      <c r="CV87" s="104">
        <f t="shared" si="58"/>
        <v>0</v>
      </c>
      <c r="CW87" s="104">
        <f t="shared" si="58"/>
        <v>16798</v>
      </c>
      <c r="CX87" s="104">
        <f>SUM(CX88:CX106)</f>
        <v>660282176.87811065</v>
      </c>
    </row>
    <row r="88" spans="1:117" ht="24" customHeight="1" x14ac:dyDescent="0.25">
      <c r="A88" s="277" t="s">
        <v>163</v>
      </c>
      <c r="B88" s="116">
        <v>63</v>
      </c>
      <c r="C88" s="117" t="s">
        <v>264</v>
      </c>
      <c r="D88" s="161" t="s">
        <v>265</v>
      </c>
      <c r="E88" s="95">
        <v>28004</v>
      </c>
      <c r="F88" s="96">
        <v>29405</v>
      </c>
      <c r="G88" s="119">
        <v>0.57999999999999996</v>
      </c>
      <c r="H88" s="107">
        <v>1</v>
      </c>
      <c r="I88" s="108"/>
      <c r="J88" s="108"/>
      <c r="K88" s="108"/>
      <c r="L88" s="63"/>
      <c r="M88" s="120">
        <v>1.4</v>
      </c>
      <c r="N88" s="120">
        <v>1.68</v>
      </c>
      <c r="O88" s="120">
        <v>2.23</v>
      </c>
      <c r="P88" s="121">
        <v>2.57</v>
      </c>
      <c r="Q88" s="122"/>
      <c r="R88" s="123">
        <f t="shared" ref="R88:R94" si="59">(Q88/12*2*$E88*$G88*$H88*$M88*$R$11)+(Q88/12*10*$F88*$G88*$H88*$M88*$R$11)</f>
        <v>0</v>
      </c>
      <c r="S88" s="124"/>
      <c r="T88" s="125">
        <f t="shared" ref="T88:T94" si="60">(S88/12*2*$E88*$G88*$H88*$M88*$R$11)+(S88/12*10*$F88*$G88*$H88*$M88*$R$11)</f>
        <v>0</v>
      </c>
      <c r="U88" s="123"/>
      <c r="V88" s="123">
        <f t="shared" ref="V88:V94" si="61">(U88/12*2*$E88*$G88*$H88*$M88*$V$11)+(U88/12*10*$F88*$G88*$H88*$M88*$V$12)</f>
        <v>0</v>
      </c>
      <c r="W88" s="123"/>
      <c r="X88" s="126">
        <f t="shared" ref="X88:X94" si="62">(W88/12*2*$E88*$G88*$H88*$M88*$X$11)+(W88/12*10*$F88*$G88*$H88*$M88*$X$12)</f>
        <v>0</v>
      </c>
      <c r="Y88" s="123"/>
      <c r="Z88" s="123">
        <f t="shared" ref="Z88:Z94" si="63">(Y88/12*2*$E88*$G88*$H88*$M88*$Z$11)+(Y88/12*10*$F88*$G88*$H88*$M88*$Z$12)</f>
        <v>0</v>
      </c>
      <c r="AA88" s="123"/>
      <c r="AB88" s="123">
        <f t="shared" ref="AB88:AB94" si="64">(AA88/12*2*$E88*$G88*$H88*$M88*$AB$11)+(AA88/12*10*$F88*$G88*$H88*$M88*$AB$11)</f>
        <v>0</v>
      </c>
      <c r="AC88" s="123"/>
      <c r="AD88" s="123"/>
      <c r="AE88" s="123"/>
      <c r="AF88" s="127">
        <f>(AE88/12*2*$E88*$G88*$H88*$M88*$AF$11)+(AE88/12*10*$F88*$G88*$H88*$M88*$AF$11)</f>
        <v>0</v>
      </c>
      <c r="AG88" s="123">
        <v>628</v>
      </c>
      <c r="AH88" s="126">
        <f>(AG88/12*2*$E88*$G88*$H88*$M88*$AH$11)+(AG88/12*10*$F88*$G88*$H88*$M88*$AH$11)</f>
        <v>16363157.826400001</v>
      </c>
      <c r="AI88" s="130"/>
      <c r="AJ88" s="123">
        <f t="shared" ref="AJ88:AJ94" si="65">(AI88/12*2*$E88*$G88*$H88*$M88*$AJ$11)+(AI88/12*5*$F88*$G88*$H88*$M88*$AJ$12)+(AI88/12*5*$F88*$G88*$H88*$M88*$AJ$13)</f>
        <v>0</v>
      </c>
      <c r="AK88" s="123">
        <v>1</v>
      </c>
      <c r="AL88" s="123">
        <f t="shared" ref="AL88:AL94" si="66">(AK88/12*2*$E88*$G88*$H88*$N88*$AL$11)+(AK88/12*5*$F88*$G88*$H88*$N88*$AL$12)++(AK88/12*5*$F88*$G88*$H88*$N88*$AL$13)</f>
        <v>36713.353879999988</v>
      </c>
      <c r="AM88" s="132"/>
      <c r="AN88" s="123">
        <f>(AM88/12*2*$E88*$G88*$H88*$N88*$AN$11)+(AM88/12*10*$F88*$G88*$H88*$N88*$AN$12)</f>
        <v>0</v>
      </c>
      <c r="AO88" s="130"/>
      <c r="AP88" s="127">
        <f t="shared" ref="AP88:AP94" si="67">(AO88/12*2*$E88*$G88*$H88*$N88*$AP$11)+(AO88/12*10*$F88*$G88*$H88*$N88*$AP$11)</f>
        <v>0</v>
      </c>
      <c r="AQ88" s="127">
        <v>0</v>
      </c>
      <c r="AR88" s="127">
        <v>0</v>
      </c>
      <c r="AS88" s="123"/>
      <c r="AT88" s="123">
        <f t="shared" ref="AT88:AT94" si="68">(AS88/12*2*$E88*$G88*$H88*$M88*$AT$11)+(AS88/12*10*$F88*$G88*$H88*$M88*$AT$11)</f>
        <v>0</v>
      </c>
      <c r="AU88" s="123"/>
      <c r="AV88" s="126">
        <f>(AU88/12*2*$E88*$G88*$H88*$M88*$AV$11)+(AU88/12*10*$F88*$G88*$H88*$M88*$AV$12)</f>
        <v>0</v>
      </c>
      <c r="AW88" s="123"/>
      <c r="AX88" s="123">
        <f t="shared" ref="AX88:AX94" si="69">(AW88/12*2*$E88*$G88*$H88*$M88*$AX$11)+(AW88/12*10*$F88*$G88*$H88*$M88*$AX$12)</f>
        <v>0</v>
      </c>
      <c r="AY88" s="123">
        <v>150</v>
      </c>
      <c r="AZ88" s="123">
        <f t="shared" ref="AZ88:AZ94" si="70">(AY88/12*2*$E88*$G88*$H88*$N88*$AZ$11)+(AY88/12*10*$F88*$G88*$H88*$N88*$AZ$11)</f>
        <v>4690077.0840000007</v>
      </c>
      <c r="BA88" s="123"/>
      <c r="BB88" s="123">
        <f t="shared" ref="BB88:BB94" si="71">(BA88/12*2*$E88*$G88*$H88*$N88*$BB$11)+(BA88/12*10*$F88*$G88*$H88*$N88*$BB$12)</f>
        <v>0</v>
      </c>
      <c r="BC88" s="123"/>
      <c r="BD88" s="126">
        <f t="shared" ref="BD88:BD94" si="72">(BC88/12*2*$E88*$G88*$H88*$N88*$BD$11)+(BC88/12*10*$F88*$G88*$H88*$N88*$BD$12)</f>
        <v>0</v>
      </c>
      <c r="BE88" s="123"/>
      <c r="BF88" s="123">
        <f t="shared" ref="BF88:BF94" si="73">(BE88/12*10*$F88*$G88*$H88*$N88*$BF$12)</f>
        <v>0</v>
      </c>
      <c r="BG88" s="123"/>
      <c r="BH88" s="123">
        <f t="shared" ref="BH88:BH94" si="74">(BG88/12*2*$E88*$G88*$H88*$N88*$BH$11)+(BG88/12*10*$F88*$G88*$H88*$N88*$BH$11)</f>
        <v>0</v>
      </c>
      <c r="BI88" s="123">
        <v>50</v>
      </c>
      <c r="BJ88" s="126">
        <f t="shared" ref="BJ88:BJ94" si="75">(BI88/12*2*$E88*$G88*$H88*$N88*$BJ$11)+(BI88/12*10*$F88*$G88*$H88*$N88*$BJ$11)</f>
        <v>1705482.5759999999</v>
      </c>
      <c r="BK88" s="123"/>
      <c r="BL88" s="127">
        <f t="shared" ref="BL88:BL94" si="76">(BK88/12*2*$E88*$G88*$H88*$N88*$BL$11)+(BK88/12*10*$F88*$G88*$H88*$N88*$BL$11)</f>
        <v>0</v>
      </c>
      <c r="BM88" s="123"/>
      <c r="BN88" s="123">
        <f t="shared" ref="BN88:BN94" si="77">(BM88/12*2*$E88*$G88*$H88*$M88*$BN$11)+(BM88/12*10*$F88*$G88*$H88*$M88*$BN$11)</f>
        <v>0</v>
      </c>
      <c r="BO88" s="123"/>
      <c r="BP88" s="123">
        <f t="shared" ref="BP88:BP94" si="78">(BO88/12*2*$E88*$G88*$H88*$M88*$BP$11)+(BO88/12*10*$F88*$G88*$H88*$M88*$BP$12)</f>
        <v>0</v>
      </c>
      <c r="BQ88" s="123"/>
      <c r="BR88" s="123">
        <f t="shared" ref="BR88:BR94" si="79">(BQ88/12*2*$E88*$G88*$H88*$M88*$BR$11)+(BQ88/12*10*$F88*$G88*$H88*$M88*$BR$11)</f>
        <v>0</v>
      </c>
      <c r="BS88" s="123">
        <v>39</v>
      </c>
      <c r="BT88" s="123">
        <f t="shared" ref="BT88:BT94" si="80">(BS88/12*2*$E88*$G88*$H88*$N88*$BT$11)+(BS88/12*10*$F88*$G88*$H88*$N88*$BT$11)</f>
        <v>1108563.6743999999</v>
      </c>
      <c r="BU88" s="123"/>
      <c r="BV88" s="126">
        <f t="shared" ref="BV88:BV94" si="81">(BU88/12*2*$E88*$G88*$H88*$M88*$BV$11)+(BU88/12*10*$F88*$G88*$H88*$M88*$BV$11)</f>
        <v>0</v>
      </c>
      <c r="BW88" s="123"/>
      <c r="BX88" s="123">
        <f t="shared" ref="BX88:BX94" si="82">(BW88/12*2*$E88*$G88*$H88*$M88*$BX$11)+(BW88/12*10*$F88*$G88*$H88*$M88*$BX$11)</f>
        <v>0</v>
      </c>
      <c r="BY88" s="123">
        <v>51</v>
      </c>
      <c r="BZ88" s="123">
        <f t="shared" ref="BZ88:BZ94" si="83">(BY88/12*2*$E88*$G88*$H88*$M88*$BZ$11)+(BY88/12*10*$F88*$G88*$H88*$M88*$BZ$11)</f>
        <v>1208050.1579999998</v>
      </c>
      <c r="CA88" s="123">
        <v>19</v>
      </c>
      <c r="CB88" s="123">
        <f t="shared" ref="CB88:CB94" si="84">(CA88/12*2*$E88*$G88*$H88*$M88*$CB$11)+(CA88/12*10*$F88*$G88*$H88*$M88*$CB$11)</f>
        <v>540069.48239999986</v>
      </c>
      <c r="CC88" s="123">
        <v>54</v>
      </c>
      <c r="CD88" s="123">
        <f t="shared" ref="CD88:CD94" si="85">(CC88/12*2*$E88*$G88*$H88*$M88*$CD$11)+(CC88/12*10*$F88*$G88*$H88*$M88*$CD$11)</f>
        <v>1279111.932</v>
      </c>
      <c r="CE88" s="123">
        <v>62</v>
      </c>
      <c r="CF88" s="123">
        <f t="shared" ref="CF88:CF94" si="86">(CE88/12*10*$F88*$G88*$H88*$N88*$CF$11)</f>
        <v>1480365.32</v>
      </c>
      <c r="CG88" s="132"/>
      <c r="CH88" s="123">
        <f t="shared" ref="CH88:CH94" si="87">(CG88/12*2*$E88*$G88*$H88*$N88*$CH$11)+(CG88/12*10*$F88*$G88*$H88*$N88*$CH$11)</f>
        <v>0</v>
      </c>
      <c r="CI88" s="123"/>
      <c r="CJ88" s="127"/>
      <c r="CK88" s="123">
        <v>68</v>
      </c>
      <c r="CL88" s="123">
        <f t="shared" ref="CL88:CL94" si="88">(CK88/12*2*$E88*$G88*$H88*$N88*$CL$11)+(CK88/12*10*$F88*$G88*$H88*$N88*$CL$12)</f>
        <v>1708666.8502400001</v>
      </c>
      <c r="CM88" s="130"/>
      <c r="CN88" s="123">
        <f t="shared" ref="CN88:CN94" si="89">(CM88/12*2*$E88*$G88*$H88*$N88*$CN$11)+(CM88/12*10*$F88*$G88*$H88*$N88*$CN$11)</f>
        <v>0</v>
      </c>
      <c r="CO88" s="123">
        <v>3</v>
      </c>
      <c r="CP88" s="123">
        <v>28652.23</v>
      </c>
      <c r="CQ88" s="123"/>
      <c r="CR88" s="123">
        <f t="shared" ref="CR88:CR94" si="90">(CQ88/12*2*$E88*$G88*$H88*$O88*$CR$11)+(CQ88/12*10*$F88*$G88*$H88*$O88*$CR$11)</f>
        <v>0</v>
      </c>
      <c r="CS88" s="123">
        <v>4</v>
      </c>
      <c r="CT88" s="133">
        <f t="shared" ref="CT88:CT94" si="91">(CS88/12*2*$E88*$G88*$H88*$P88*$CT$11)+(CS88/12*10*$F88*$G88*$H88*$P88*$CT$11)</f>
        <v>173932.15159999998</v>
      </c>
      <c r="CU88" s="123"/>
      <c r="CV88" s="123"/>
      <c r="CW88" s="126">
        <f t="shared" ref="CW88:CX101" si="92">SUM(Q88,S88,U88,W88,Y88,AA88,AC88,AE88,AG88,AM88,BQ88,AI88,AU88,CC88,AW88,AY88,AK88,BC88,AO88,AQ88,BE88,CE88,BG88,BI88,BK88,BS88,BM88,BO88,BU88,BW88,BY88,CA88,CG88,BA88,AS88,CI88,CK88,CM88,CO88,CQ88,CS88,CU88)</f>
        <v>1129</v>
      </c>
      <c r="CX88" s="126">
        <f t="shared" si="92"/>
        <v>30322842.638920002</v>
      </c>
    </row>
    <row r="89" spans="1:117" ht="24" customHeight="1" x14ac:dyDescent="0.25">
      <c r="A89" s="91"/>
      <c r="B89" s="116">
        <v>64</v>
      </c>
      <c r="C89" s="117" t="s">
        <v>266</v>
      </c>
      <c r="D89" s="161" t="s">
        <v>267</v>
      </c>
      <c r="E89" s="95">
        <v>28004</v>
      </c>
      <c r="F89" s="96">
        <v>29405</v>
      </c>
      <c r="G89" s="119">
        <v>0.62</v>
      </c>
      <c r="H89" s="107">
        <v>1</v>
      </c>
      <c r="I89" s="108"/>
      <c r="J89" s="108"/>
      <c r="K89" s="108"/>
      <c r="L89" s="63"/>
      <c r="M89" s="120">
        <v>1.4</v>
      </c>
      <c r="N89" s="120">
        <v>1.68</v>
      </c>
      <c r="O89" s="120">
        <v>2.23</v>
      </c>
      <c r="P89" s="121">
        <v>2.57</v>
      </c>
      <c r="Q89" s="122"/>
      <c r="R89" s="123">
        <f t="shared" si="59"/>
        <v>0</v>
      </c>
      <c r="S89" s="124"/>
      <c r="T89" s="125">
        <f t="shared" si="60"/>
        <v>0</v>
      </c>
      <c r="U89" s="123">
        <v>2500</v>
      </c>
      <c r="V89" s="123">
        <f t="shared" si="61"/>
        <v>84900834.083333343</v>
      </c>
      <c r="W89" s="123"/>
      <c r="X89" s="126">
        <f t="shared" si="62"/>
        <v>0</v>
      </c>
      <c r="Y89" s="123"/>
      <c r="Z89" s="123">
        <f t="shared" si="63"/>
        <v>0</v>
      </c>
      <c r="AA89" s="123"/>
      <c r="AB89" s="123">
        <f t="shared" si="64"/>
        <v>0</v>
      </c>
      <c r="AC89" s="123"/>
      <c r="AD89" s="123"/>
      <c r="AE89" s="123"/>
      <c r="AF89" s="127">
        <f t="shared" ref="AF89:AF94" si="93">(AE89/12*2*$E89*$G89*$H89*$M89*$AF$11)+(AE89/12*10*$F89*$G89*$H89*$M89*$AF$11)</f>
        <v>0</v>
      </c>
      <c r="AG89" s="123">
        <v>50</v>
      </c>
      <c r="AH89" s="126">
        <f t="shared" ref="AH89:AH94" si="94">(AG89/12*2*$E89*$G89*$H89*$M89*$AH$11)+(AG89/12*10*$F89*$G89*$H89*$M89*$AH$11)</f>
        <v>1392647.4100000004</v>
      </c>
      <c r="AI89" s="130"/>
      <c r="AJ89" s="123">
        <f t="shared" si="65"/>
        <v>0</v>
      </c>
      <c r="AK89" s="123"/>
      <c r="AL89" s="123">
        <f t="shared" si="66"/>
        <v>0</v>
      </c>
      <c r="AM89" s="132"/>
      <c r="AN89" s="123">
        <f t="shared" ref="AN89:AN94" si="95">(AM89/12*2*$E89*$G89*$H89*$N89*$AN$11)+(AM89/12*10*$F89*$G89*$H89*$N89*$AN$12)</f>
        <v>0</v>
      </c>
      <c r="AO89" s="130">
        <v>3</v>
      </c>
      <c r="AP89" s="127">
        <f t="shared" si="67"/>
        <v>100270.61352</v>
      </c>
      <c r="AQ89" s="127">
        <v>0</v>
      </c>
      <c r="AR89" s="127">
        <v>0</v>
      </c>
      <c r="AS89" s="123"/>
      <c r="AT89" s="123">
        <f t="shared" si="68"/>
        <v>0</v>
      </c>
      <c r="AU89" s="123"/>
      <c r="AV89" s="126">
        <f t="shared" ref="AV89:AV94" si="96">(AU89/12*2*$E89*$G89*$H89*$M89*$AV$11)+(AU89/12*10*$F89*$G89*$H89*$M89*$AV$12)</f>
        <v>0</v>
      </c>
      <c r="AW89" s="123"/>
      <c r="AX89" s="123">
        <f t="shared" si="69"/>
        <v>0</v>
      </c>
      <c r="AY89" s="123">
        <v>1336</v>
      </c>
      <c r="AZ89" s="123">
        <f t="shared" si="70"/>
        <v>44653846.554240003</v>
      </c>
      <c r="BA89" s="123"/>
      <c r="BB89" s="123">
        <f t="shared" si="71"/>
        <v>0</v>
      </c>
      <c r="BC89" s="123"/>
      <c r="BD89" s="126">
        <f t="shared" si="72"/>
        <v>0</v>
      </c>
      <c r="BE89" s="123"/>
      <c r="BF89" s="123">
        <f t="shared" si="73"/>
        <v>0</v>
      </c>
      <c r="BG89" s="123"/>
      <c r="BH89" s="123">
        <f t="shared" si="74"/>
        <v>0</v>
      </c>
      <c r="BI89" s="123">
        <v>174</v>
      </c>
      <c r="BJ89" s="126">
        <f t="shared" si="75"/>
        <v>6344395.1827199999</v>
      </c>
      <c r="BK89" s="123"/>
      <c r="BL89" s="127">
        <f t="shared" si="76"/>
        <v>0</v>
      </c>
      <c r="BM89" s="123"/>
      <c r="BN89" s="123">
        <f t="shared" si="77"/>
        <v>0</v>
      </c>
      <c r="BO89" s="123"/>
      <c r="BP89" s="123">
        <f t="shared" si="78"/>
        <v>0</v>
      </c>
      <c r="BQ89" s="123"/>
      <c r="BR89" s="123">
        <f t="shared" si="79"/>
        <v>0</v>
      </c>
      <c r="BS89" s="123">
        <v>60</v>
      </c>
      <c r="BT89" s="123">
        <f t="shared" si="80"/>
        <v>1823102.0639999998</v>
      </c>
      <c r="BU89" s="123"/>
      <c r="BV89" s="126">
        <f t="shared" si="81"/>
        <v>0</v>
      </c>
      <c r="BW89" s="123"/>
      <c r="BX89" s="123">
        <f t="shared" si="82"/>
        <v>0</v>
      </c>
      <c r="BY89" s="123">
        <v>185</v>
      </c>
      <c r="BZ89" s="123">
        <f t="shared" si="83"/>
        <v>4684359.47</v>
      </c>
      <c r="CA89" s="123">
        <v>216</v>
      </c>
      <c r="CB89" s="123">
        <f t="shared" si="84"/>
        <v>6563167.430399999</v>
      </c>
      <c r="CC89" s="123">
        <v>125</v>
      </c>
      <c r="CD89" s="123">
        <f t="shared" si="85"/>
        <v>3165107.7499999995</v>
      </c>
      <c r="CE89" s="123">
        <v>33</v>
      </c>
      <c r="CF89" s="123">
        <f t="shared" si="86"/>
        <v>842276.82</v>
      </c>
      <c r="CG89" s="132"/>
      <c r="CH89" s="123">
        <f t="shared" si="87"/>
        <v>0</v>
      </c>
      <c r="CI89" s="123"/>
      <c r="CJ89" s="127"/>
      <c r="CK89" s="123">
        <v>145</v>
      </c>
      <c r="CL89" s="123">
        <f t="shared" si="88"/>
        <v>3894755.3204000001</v>
      </c>
      <c r="CM89" s="130">
        <v>2</v>
      </c>
      <c r="CN89" s="123">
        <f t="shared" si="89"/>
        <v>60770.068799999994</v>
      </c>
      <c r="CO89" s="123">
        <v>3</v>
      </c>
      <c r="CP89" s="123">
        <v>59797.22</v>
      </c>
      <c r="CQ89" s="123"/>
      <c r="CR89" s="123">
        <f t="shared" si="90"/>
        <v>0</v>
      </c>
      <c r="CS89" s="123">
        <v>8</v>
      </c>
      <c r="CT89" s="133">
        <f t="shared" si="91"/>
        <v>371854.94479999994</v>
      </c>
      <c r="CU89" s="123"/>
      <c r="CV89" s="123"/>
      <c r="CW89" s="126">
        <f t="shared" si="92"/>
        <v>4840</v>
      </c>
      <c r="CX89" s="126">
        <f t="shared" si="92"/>
        <v>158857184.93221334</v>
      </c>
    </row>
    <row r="90" spans="1:117" ht="24" customHeight="1" x14ac:dyDescent="0.25">
      <c r="A90" s="91"/>
      <c r="B90" s="116">
        <v>65</v>
      </c>
      <c r="C90" s="117" t="s">
        <v>268</v>
      </c>
      <c r="D90" s="161" t="s">
        <v>269</v>
      </c>
      <c r="E90" s="95">
        <v>28004</v>
      </c>
      <c r="F90" s="96">
        <v>29405</v>
      </c>
      <c r="G90" s="119">
        <v>1.4</v>
      </c>
      <c r="H90" s="107">
        <v>1</v>
      </c>
      <c r="I90" s="108"/>
      <c r="J90" s="108"/>
      <c r="K90" s="108"/>
      <c r="L90" s="63"/>
      <c r="M90" s="120">
        <v>1.4</v>
      </c>
      <c r="N90" s="120">
        <v>1.68</v>
      </c>
      <c r="O90" s="120">
        <v>2.23</v>
      </c>
      <c r="P90" s="121">
        <v>2.57</v>
      </c>
      <c r="Q90" s="122"/>
      <c r="R90" s="123">
        <f t="shared" si="59"/>
        <v>0</v>
      </c>
      <c r="S90" s="124">
        <v>1</v>
      </c>
      <c r="T90" s="125">
        <f t="shared" si="60"/>
        <v>62893.753999999994</v>
      </c>
      <c r="U90" s="123">
        <v>15</v>
      </c>
      <c r="V90" s="123">
        <f t="shared" si="61"/>
        <v>1150269.365</v>
      </c>
      <c r="W90" s="123"/>
      <c r="X90" s="126">
        <f t="shared" si="62"/>
        <v>0</v>
      </c>
      <c r="Y90" s="123"/>
      <c r="Z90" s="123">
        <f t="shared" si="63"/>
        <v>0</v>
      </c>
      <c r="AA90" s="123"/>
      <c r="AB90" s="123">
        <f t="shared" si="64"/>
        <v>0</v>
      </c>
      <c r="AC90" s="123"/>
      <c r="AD90" s="123"/>
      <c r="AE90" s="123"/>
      <c r="AF90" s="127">
        <f t="shared" si="93"/>
        <v>0</v>
      </c>
      <c r="AG90" s="123">
        <v>20</v>
      </c>
      <c r="AH90" s="126">
        <f t="shared" si="94"/>
        <v>1257875.08</v>
      </c>
      <c r="AI90" s="130"/>
      <c r="AJ90" s="123">
        <f t="shared" si="65"/>
        <v>0</v>
      </c>
      <c r="AK90" s="123"/>
      <c r="AL90" s="123">
        <f t="shared" si="66"/>
        <v>0</v>
      </c>
      <c r="AM90" s="132"/>
      <c r="AN90" s="123">
        <f t="shared" si="95"/>
        <v>0</v>
      </c>
      <c r="AO90" s="130"/>
      <c r="AP90" s="127">
        <f t="shared" si="67"/>
        <v>0</v>
      </c>
      <c r="AQ90" s="127">
        <v>0</v>
      </c>
      <c r="AR90" s="127">
        <v>0</v>
      </c>
      <c r="AS90" s="123"/>
      <c r="AT90" s="123">
        <f t="shared" si="68"/>
        <v>0</v>
      </c>
      <c r="AU90" s="123"/>
      <c r="AV90" s="126">
        <f t="shared" si="96"/>
        <v>0</v>
      </c>
      <c r="AW90" s="123"/>
      <c r="AX90" s="123">
        <f t="shared" si="69"/>
        <v>0</v>
      </c>
      <c r="AY90" s="123">
        <v>3</v>
      </c>
      <c r="AZ90" s="123">
        <f t="shared" si="70"/>
        <v>226417.51440000001</v>
      </c>
      <c r="BA90" s="123"/>
      <c r="BB90" s="123">
        <f t="shared" si="71"/>
        <v>0</v>
      </c>
      <c r="BC90" s="123"/>
      <c r="BD90" s="126">
        <f t="shared" si="72"/>
        <v>0</v>
      </c>
      <c r="BE90" s="123"/>
      <c r="BF90" s="123">
        <f t="shared" si="73"/>
        <v>0</v>
      </c>
      <c r="BG90" s="123"/>
      <c r="BH90" s="123">
        <f t="shared" si="74"/>
        <v>0</v>
      </c>
      <c r="BI90" s="123">
        <v>3</v>
      </c>
      <c r="BJ90" s="126">
        <f t="shared" si="75"/>
        <v>247000.92479999998</v>
      </c>
      <c r="BK90" s="123">
        <v>1</v>
      </c>
      <c r="BL90" s="127">
        <f t="shared" si="76"/>
        <v>82333.641599999974</v>
      </c>
      <c r="BM90" s="123"/>
      <c r="BN90" s="123">
        <f t="shared" si="77"/>
        <v>0</v>
      </c>
      <c r="BO90" s="123"/>
      <c r="BP90" s="123">
        <f t="shared" si="78"/>
        <v>0</v>
      </c>
      <c r="BQ90" s="123"/>
      <c r="BR90" s="123">
        <f t="shared" si="79"/>
        <v>0</v>
      </c>
      <c r="BS90" s="123">
        <v>0</v>
      </c>
      <c r="BT90" s="123">
        <f t="shared" si="80"/>
        <v>0</v>
      </c>
      <c r="BU90" s="123"/>
      <c r="BV90" s="126">
        <f t="shared" si="81"/>
        <v>0</v>
      </c>
      <c r="BW90" s="123"/>
      <c r="BX90" s="123">
        <f t="shared" si="82"/>
        <v>0</v>
      </c>
      <c r="BY90" s="123">
        <v>12</v>
      </c>
      <c r="BZ90" s="123">
        <f t="shared" si="83"/>
        <v>686113.67999999993</v>
      </c>
      <c r="CA90" s="123">
        <v>0</v>
      </c>
      <c r="CB90" s="123">
        <f t="shared" si="84"/>
        <v>0</v>
      </c>
      <c r="CC90" s="123">
        <v>1</v>
      </c>
      <c r="CD90" s="123">
        <f t="shared" si="85"/>
        <v>57176.139999999985</v>
      </c>
      <c r="CE90" s="123"/>
      <c r="CF90" s="123">
        <f t="shared" si="86"/>
        <v>0</v>
      </c>
      <c r="CG90" s="132"/>
      <c r="CH90" s="123">
        <f t="shared" si="87"/>
        <v>0</v>
      </c>
      <c r="CI90" s="123"/>
      <c r="CJ90" s="127"/>
      <c r="CK90" s="123">
        <v>2</v>
      </c>
      <c r="CL90" s="123">
        <f t="shared" si="88"/>
        <v>121304.94879999998</v>
      </c>
      <c r="CM90" s="130"/>
      <c r="CN90" s="123">
        <f t="shared" si="89"/>
        <v>0</v>
      </c>
      <c r="CO90" s="123">
        <v>0</v>
      </c>
      <c r="CP90" s="123">
        <v>0</v>
      </c>
      <c r="CQ90" s="123"/>
      <c r="CR90" s="123">
        <f t="shared" si="90"/>
        <v>0</v>
      </c>
      <c r="CS90" s="123"/>
      <c r="CT90" s="133">
        <f t="shared" si="91"/>
        <v>0</v>
      </c>
      <c r="CU90" s="123"/>
      <c r="CV90" s="123"/>
      <c r="CW90" s="126">
        <f t="shared" si="92"/>
        <v>58</v>
      </c>
      <c r="CX90" s="126">
        <f t="shared" si="92"/>
        <v>3891385.0485999999</v>
      </c>
    </row>
    <row r="91" spans="1:117" ht="23.25" customHeight="1" x14ac:dyDescent="0.25">
      <c r="A91" s="91"/>
      <c r="B91" s="116">
        <v>66</v>
      </c>
      <c r="C91" s="117" t="s">
        <v>270</v>
      </c>
      <c r="D91" s="161" t="s">
        <v>271</v>
      </c>
      <c r="E91" s="95">
        <v>28004</v>
      </c>
      <c r="F91" s="96">
        <v>29405</v>
      </c>
      <c r="G91" s="119">
        <v>1.27</v>
      </c>
      <c r="H91" s="107">
        <v>1</v>
      </c>
      <c r="I91" s="108"/>
      <c r="J91" s="108"/>
      <c r="K91" s="108"/>
      <c r="L91" s="63"/>
      <c r="M91" s="120">
        <v>1.4</v>
      </c>
      <c r="N91" s="120">
        <v>1.68</v>
      </c>
      <c r="O91" s="120">
        <v>2.23</v>
      </c>
      <c r="P91" s="121">
        <v>2.57</v>
      </c>
      <c r="Q91" s="122">
        <v>40</v>
      </c>
      <c r="R91" s="123">
        <f t="shared" si="59"/>
        <v>2282144.7880000002</v>
      </c>
      <c r="S91" s="124">
        <v>1</v>
      </c>
      <c r="T91" s="125">
        <f t="shared" si="60"/>
        <v>57053.619699999996</v>
      </c>
      <c r="U91" s="123">
        <v>2</v>
      </c>
      <c r="V91" s="123">
        <f t="shared" si="61"/>
        <v>139127.8184333333</v>
      </c>
      <c r="W91" s="123"/>
      <c r="X91" s="126">
        <f t="shared" si="62"/>
        <v>0</v>
      </c>
      <c r="Y91" s="123"/>
      <c r="Z91" s="123">
        <f t="shared" si="63"/>
        <v>0</v>
      </c>
      <c r="AA91" s="123"/>
      <c r="AB91" s="123">
        <f t="shared" si="64"/>
        <v>0</v>
      </c>
      <c r="AC91" s="123"/>
      <c r="AD91" s="123"/>
      <c r="AE91" s="123">
        <v>40</v>
      </c>
      <c r="AF91" s="127">
        <f t="shared" si="93"/>
        <v>2282144.7880000002</v>
      </c>
      <c r="AG91" s="123">
        <v>20</v>
      </c>
      <c r="AH91" s="126">
        <f t="shared" si="94"/>
        <v>1141072.3940000001</v>
      </c>
      <c r="AI91" s="130"/>
      <c r="AJ91" s="123">
        <f t="shared" si="65"/>
        <v>0</v>
      </c>
      <c r="AK91" s="123"/>
      <c r="AL91" s="123">
        <f t="shared" si="66"/>
        <v>0</v>
      </c>
      <c r="AM91" s="132"/>
      <c r="AN91" s="123">
        <f t="shared" si="95"/>
        <v>0</v>
      </c>
      <c r="AO91" s="130">
        <v>2</v>
      </c>
      <c r="AP91" s="127">
        <f t="shared" si="67"/>
        <v>136928.68728000001</v>
      </c>
      <c r="AQ91" s="127">
        <v>0</v>
      </c>
      <c r="AR91" s="127">
        <v>0</v>
      </c>
      <c r="AS91" s="123"/>
      <c r="AT91" s="123">
        <f t="shared" si="68"/>
        <v>0</v>
      </c>
      <c r="AU91" s="123"/>
      <c r="AV91" s="126">
        <f t="shared" si="96"/>
        <v>0</v>
      </c>
      <c r="AW91" s="123">
        <v>2</v>
      </c>
      <c r="AX91" s="123">
        <f>(AW91/12*2*$E91*$G91*$H91*$M91*$AX$11)+(AW91/12*10*$F91*$G91*$H91*$M91*$AX$12)</f>
        <v>119252.41579999997</v>
      </c>
      <c r="AY91" s="123">
        <v>42</v>
      </c>
      <c r="AZ91" s="123">
        <f t="shared" si="70"/>
        <v>2875502.4328800002</v>
      </c>
      <c r="BA91" s="123"/>
      <c r="BB91" s="123">
        <f t="shared" si="71"/>
        <v>0</v>
      </c>
      <c r="BC91" s="123"/>
      <c r="BD91" s="126">
        <f t="shared" si="72"/>
        <v>0</v>
      </c>
      <c r="BE91" s="123">
        <v>6</v>
      </c>
      <c r="BF91" s="123">
        <f t="shared" si="73"/>
        <v>313692.53999999998</v>
      </c>
      <c r="BG91" s="123">
        <v>2</v>
      </c>
      <c r="BH91" s="123">
        <f t="shared" si="74"/>
        <v>112032.56232</v>
      </c>
      <c r="BI91" s="123">
        <v>6</v>
      </c>
      <c r="BJ91" s="126">
        <f t="shared" si="75"/>
        <v>448130.24927999993</v>
      </c>
      <c r="BK91" s="123">
        <v>1</v>
      </c>
      <c r="BL91" s="127">
        <f t="shared" si="76"/>
        <v>74688.374879999988</v>
      </c>
      <c r="BM91" s="123"/>
      <c r="BN91" s="123">
        <f t="shared" si="77"/>
        <v>0</v>
      </c>
      <c r="BO91" s="123"/>
      <c r="BP91" s="123">
        <f t="shared" si="78"/>
        <v>0</v>
      </c>
      <c r="BQ91" s="123"/>
      <c r="BR91" s="123">
        <f t="shared" si="79"/>
        <v>0</v>
      </c>
      <c r="BS91" s="123">
        <v>4</v>
      </c>
      <c r="BT91" s="123">
        <f t="shared" si="80"/>
        <v>248961.24959999998</v>
      </c>
      <c r="BU91" s="123"/>
      <c r="BV91" s="126">
        <f t="shared" si="81"/>
        <v>0</v>
      </c>
      <c r="BW91" s="123"/>
      <c r="BX91" s="123">
        <f t="shared" si="82"/>
        <v>0</v>
      </c>
      <c r="BY91" s="123">
        <v>15</v>
      </c>
      <c r="BZ91" s="123">
        <f t="shared" si="83"/>
        <v>778003.90500000003</v>
      </c>
      <c r="CA91" s="123">
        <v>4</v>
      </c>
      <c r="CB91" s="123">
        <f t="shared" si="84"/>
        <v>248961.24959999995</v>
      </c>
      <c r="CC91" s="123">
        <v>1</v>
      </c>
      <c r="CD91" s="123">
        <f t="shared" si="85"/>
        <v>51866.926999999996</v>
      </c>
      <c r="CE91" s="123">
        <v>29</v>
      </c>
      <c r="CF91" s="123">
        <f t="shared" si="86"/>
        <v>1516180.6099999999</v>
      </c>
      <c r="CG91" s="132">
        <v>20</v>
      </c>
      <c r="CH91" s="123">
        <f t="shared" si="87"/>
        <v>1120325.6232</v>
      </c>
      <c r="CI91" s="123"/>
      <c r="CJ91" s="127"/>
      <c r="CK91" s="123">
        <v>2</v>
      </c>
      <c r="CL91" s="123">
        <f t="shared" si="88"/>
        <v>110040.91784000001</v>
      </c>
      <c r="CM91" s="130"/>
      <c r="CN91" s="123">
        <f t="shared" si="89"/>
        <v>0</v>
      </c>
      <c r="CO91" s="123">
        <v>7</v>
      </c>
      <c r="CP91" s="123">
        <v>125477.02</v>
      </c>
      <c r="CQ91" s="123"/>
      <c r="CR91" s="123">
        <f t="shared" si="90"/>
        <v>0</v>
      </c>
      <c r="CS91" s="123">
        <v>3</v>
      </c>
      <c r="CT91" s="133">
        <f t="shared" si="91"/>
        <v>285638.57655</v>
      </c>
      <c r="CU91" s="127"/>
      <c r="CV91" s="127"/>
      <c r="CW91" s="126">
        <f t="shared" si="92"/>
        <v>249</v>
      </c>
      <c r="CX91" s="126">
        <f t="shared" si="92"/>
        <v>14467226.749363329</v>
      </c>
    </row>
    <row r="92" spans="1:117" ht="24" customHeight="1" x14ac:dyDescent="0.25">
      <c r="A92" s="91"/>
      <c r="B92" s="116">
        <v>67</v>
      </c>
      <c r="C92" s="117" t="s">
        <v>272</v>
      </c>
      <c r="D92" s="161" t="s">
        <v>273</v>
      </c>
      <c r="E92" s="95">
        <v>28004</v>
      </c>
      <c r="F92" s="96">
        <v>29405</v>
      </c>
      <c r="G92" s="119">
        <v>3.12</v>
      </c>
      <c r="H92" s="107">
        <v>1</v>
      </c>
      <c r="I92" s="108"/>
      <c r="J92" s="108"/>
      <c r="K92" s="108"/>
      <c r="L92" s="63"/>
      <c r="M92" s="120">
        <v>1.4</v>
      </c>
      <c r="N92" s="120">
        <v>1.68</v>
      </c>
      <c r="O92" s="120">
        <v>2.23</v>
      </c>
      <c r="P92" s="121">
        <v>2.57</v>
      </c>
      <c r="Q92" s="122">
        <v>10</v>
      </c>
      <c r="R92" s="123">
        <f t="shared" si="59"/>
        <v>1401632.2320000003</v>
      </c>
      <c r="S92" s="124">
        <v>1</v>
      </c>
      <c r="T92" s="125">
        <f t="shared" si="60"/>
        <v>140163.22320000001</v>
      </c>
      <c r="U92" s="123"/>
      <c r="V92" s="123">
        <f t="shared" si="61"/>
        <v>0</v>
      </c>
      <c r="W92" s="123"/>
      <c r="X92" s="126">
        <f t="shared" si="62"/>
        <v>0</v>
      </c>
      <c r="Y92" s="123"/>
      <c r="Z92" s="123">
        <f t="shared" si="63"/>
        <v>0</v>
      </c>
      <c r="AA92" s="123"/>
      <c r="AB92" s="123">
        <f t="shared" si="64"/>
        <v>0</v>
      </c>
      <c r="AC92" s="123"/>
      <c r="AD92" s="123"/>
      <c r="AE92" s="123">
        <f>20+3</f>
        <v>23</v>
      </c>
      <c r="AF92" s="127">
        <f t="shared" si="93"/>
        <v>3223754.1336000003</v>
      </c>
      <c r="AG92" s="123">
        <v>16</v>
      </c>
      <c r="AH92" s="126">
        <f t="shared" si="94"/>
        <v>2242611.5712000001</v>
      </c>
      <c r="AI92" s="130"/>
      <c r="AJ92" s="123">
        <f t="shared" si="65"/>
        <v>0</v>
      </c>
      <c r="AK92" s="123">
        <v>5</v>
      </c>
      <c r="AL92" s="123">
        <f t="shared" si="66"/>
        <v>987462.62160000019</v>
      </c>
      <c r="AM92" s="132"/>
      <c r="AN92" s="123">
        <f t="shared" si="95"/>
        <v>0</v>
      </c>
      <c r="AO92" s="130"/>
      <c r="AP92" s="127">
        <f t="shared" si="67"/>
        <v>0</v>
      </c>
      <c r="AQ92" s="127">
        <v>0</v>
      </c>
      <c r="AR92" s="127">
        <v>0</v>
      </c>
      <c r="AS92" s="123"/>
      <c r="AT92" s="123">
        <f t="shared" si="68"/>
        <v>0</v>
      </c>
      <c r="AU92" s="123"/>
      <c r="AV92" s="126">
        <f t="shared" si="96"/>
        <v>0</v>
      </c>
      <c r="AW92" s="123"/>
      <c r="AX92" s="123">
        <f t="shared" si="69"/>
        <v>0</v>
      </c>
      <c r="AY92" s="123">
        <v>5</v>
      </c>
      <c r="AZ92" s="123">
        <f t="shared" si="70"/>
        <v>840979.33920000005</v>
      </c>
      <c r="BA92" s="123"/>
      <c r="BB92" s="123">
        <f t="shared" si="71"/>
        <v>0</v>
      </c>
      <c r="BC92" s="123"/>
      <c r="BD92" s="126">
        <f t="shared" si="72"/>
        <v>0</v>
      </c>
      <c r="BE92" s="123"/>
      <c r="BF92" s="123">
        <f t="shared" si="73"/>
        <v>0</v>
      </c>
      <c r="BG92" s="123"/>
      <c r="BH92" s="123">
        <f t="shared" si="74"/>
        <v>0</v>
      </c>
      <c r="BI92" s="123">
        <v>4</v>
      </c>
      <c r="BJ92" s="126">
        <f t="shared" si="75"/>
        <v>733945.60511999996</v>
      </c>
      <c r="BK92" s="123"/>
      <c r="BL92" s="127">
        <f t="shared" si="76"/>
        <v>0</v>
      </c>
      <c r="BM92" s="123"/>
      <c r="BN92" s="123">
        <f t="shared" si="77"/>
        <v>0</v>
      </c>
      <c r="BO92" s="123"/>
      <c r="BP92" s="123">
        <f t="shared" si="78"/>
        <v>0</v>
      </c>
      <c r="BQ92" s="123"/>
      <c r="BR92" s="123">
        <f t="shared" si="79"/>
        <v>0</v>
      </c>
      <c r="BS92" s="123">
        <v>1</v>
      </c>
      <c r="BT92" s="123">
        <f t="shared" si="80"/>
        <v>152905.33439999999</v>
      </c>
      <c r="BU92" s="123"/>
      <c r="BV92" s="126">
        <f t="shared" si="81"/>
        <v>0</v>
      </c>
      <c r="BW92" s="123"/>
      <c r="BX92" s="123">
        <f t="shared" si="82"/>
        <v>0</v>
      </c>
      <c r="BY92" s="123"/>
      <c r="BZ92" s="123">
        <f t="shared" si="83"/>
        <v>0</v>
      </c>
      <c r="CA92" s="123">
        <v>1</v>
      </c>
      <c r="CB92" s="123">
        <f t="shared" si="84"/>
        <v>152905.33439999999</v>
      </c>
      <c r="CC92" s="123"/>
      <c r="CD92" s="123">
        <f t="shared" si="85"/>
        <v>0</v>
      </c>
      <c r="CE92" s="123"/>
      <c r="CF92" s="123">
        <f t="shared" si="86"/>
        <v>0</v>
      </c>
      <c r="CG92" s="132">
        <v>2</v>
      </c>
      <c r="CH92" s="123">
        <f t="shared" si="87"/>
        <v>275229.60191999999</v>
      </c>
      <c r="CI92" s="123"/>
      <c r="CJ92" s="127"/>
      <c r="CK92" s="123"/>
      <c r="CL92" s="123">
        <f t="shared" si="88"/>
        <v>0</v>
      </c>
      <c r="CM92" s="130"/>
      <c r="CN92" s="123">
        <f t="shared" si="89"/>
        <v>0</v>
      </c>
      <c r="CO92" s="123">
        <v>0</v>
      </c>
      <c r="CP92" s="123">
        <v>0</v>
      </c>
      <c r="CQ92" s="123"/>
      <c r="CR92" s="123">
        <f t="shared" si="90"/>
        <v>0</v>
      </c>
      <c r="CS92" s="123"/>
      <c r="CT92" s="133">
        <f t="shared" si="91"/>
        <v>0</v>
      </c>
      <c r="CU92" s="127"/>
      <c r="CV92" s="127"/>
      <c r="CW92" s="126">
        <f t="shared" si="92"/>
        <v>68</v>
      </c>
      <c r="CX92" s="126">
        <f t="shared" si="92"/>
        <v>10151588.996639999</v>
      </c>
    </row>
    <row r="93" spans="1:117" ht="24" customHeight="1" thickBot="1" x14ac:dyDescent="0.3">
      <c r="A93" s="169"/>
      <c r="B93" s="116">
        <v>68</v>
      </c>
      <c r="C93" s="117" t="s">
        <v>274</v>
      </c>
      <c r="D93" s="170" t="s">
        <v>275</v>
      </c>
      <c r="E93" s="95">
        <v>28004</v>
      </c>
      <c r="F93" s="96">
        <v>29405</v>
      </c>
      <c r="G93" s="171">
        <v>4.51</v>
      </c>
      <c r="H93" s="172">
        <v>1</v>
      </c>
      <c r="I93" s="173"/>
      <c r="J93" s="173"/>
      <c r="K93" s="173"/>
      <c r="L93" s="63"/>
      <c r="M93" s="174">
        <v>1.4</v>
      </c>
      <c r="N93" s="174">
        <v>1.68</v>
      </c>
      <c r="O93" s="174">
        <v>2.23</v>
      </c>
      <c r="P93" s="175">
        <v>2.57</v>
      </c>
      <c r="Q93" s="176"/>
      <c r="R93" s="123">
        <f t="shared" si="59"/>
        <v>0</v>
      </c>
      <c r="S93" s="177"/>
      <c r="T93" s="125">
        <f t="shared" si="60"/>
        <v>0</v>
      </c>
      <c r="U93" s="178">
        <v>20</v>
      </c>
      <c r="V93" s="123">
        <f t="shared" si="61"/>
        <v>4940680.7963333335</v>
      </c>
      <c r="W93" s="178"/>
      <c r="X93" s="126">
        <f t="shared" si="62"/>
        <v>0</v>
      </c>
      <c r="Y93" s="123"/>
      <c r="Z93" s="123">
        <f t="shared" si="63"/>
        <v>0</v>
      </c>
      <c r="AA93" s="178"/>
      <c r="AB93" s="123">
        <f t="shared" si="64"/>
        <v>0</v>
      </c>
      <c r="AC93" s="123"/>
      <c r="AD93" s="178"/>
      <c r="AE93" s="178"/>
      <c r="AF93" s="123">
        <f t="shared" si="93"/>
        <v>0</v>
      </c>
      <c r="AG93" s="179">
        <v>0</v>
      </c>
      <c r="AH93" s="136">
        <f t="shared" si="94"/>
        <v>0</v>
      </c>
      <c r="AI93" s="178"/>
      <c r="AJ93" s="123">
        <f t="shared" si="65"/>
        <v>0</v>
      </c>
      <c r="AK93" s="178"/>
      <c r="AL93" s="123">
        <f t="shared" si="66"/>
        <v>0</v>
      </c>
      <c r="AM93" s="180"/>
      <c r="AN93" s="123">
        <f t="shared" si="95"/>
        <v>0</v>
      </c>
      <c r="AO93" s="130"/>
      <c r="AP93" s="127">
        <f t="shared" si="67"/>
        <v>0</v>
      </c>
      <c r="AQ93" s="181">
        <v>0</v>
      </c>
      <c r="AR93" s="181">
        <v>0</v>
      </c>
      <c r="AS93" s="178"/>
      <c r="AT93" s="123">
        <f t="shared" si="68"/>
        <v>0</v>
      </c>
      <c r="AU93" s="178"/>
      <c r="AV93" s="126">
        <f t="shared" si="96"/>
        <v>0</v>
      </c>
      <c r="AW93" s="178"/>
      <c r="AX93" s="123">
        <f t="shared" si="69"/>
        <v>0</v>
      </c>
      <c r="AY93" s="178">
        <v>2</v>
      </c>
      <c r="AZ93" s="123">
        <f t="shared" si="70"/>
        <v>486258.56663999998</v>
      </c>
      <c r="BA93" s="178"/>
      <c r="BB93" s="123">
        <f t="shared" si="71"/>
        <v>0</v>
      </c>
      <c r="BC93" s="178"/>
      <c r="BD93" s="126">
        <f t="shared" si="72"/>
        <v>0</v>
      </c>
      <c r="BE93" s="178"/>
      <c r="BF93" s="123">
        <f t="shared" si="73"/>
        <v>0</v>
      </c>
      <c r="BG93" s="178"/>
      <c r="BH93" s="123">
        <f t="shared" si="74"/>
        <v>0</v>
      </c>
      <c r="BI93" s="178"/>
      <c r="BJ93" s="126">
        <f t="shared" si="75"/>
        <v>0</v>
      </c>
      <c r="BK93" s="178"/>
      <c r="BL93" s="127">
        <f t="shared" si="76"/>
        <v>0</v>
      </c>
      <c r="BM93" s="178"/>
      <c r="BN93" s="123">
        <f t="shared" si="77"/>
        <v>0</v>
      </c>
      <c r="BO93" s="178"/>
      <c r="BP93" s="123">
        <f t="shared" si="78"/>
        <v>0</v>
      </c>
      <c r="BQ93" s="178"/>
      <c r="BR93" s="123">
        <f t="shared" si="79"/>
        <v>0</v>
      </c>
      <c r="BS93" s="178">
        <v>0</v>
      </c>
      <c r="BT93" s="123">
        <f t="shared" si="80"/>
        <v>0</v>
      </c>
      <c r="BU93" s="178"/>
      <c r="BV93" s="126">
        <f t="shared" si="81"/>
        <v>0</v>
      </c>
      <c r="BW93" s="178"/>
      <c r="BX93" s="123">
        <f t="shared" si="82"/>
        <v>0</v>
      </c>
      <c r="BY93" s="178"/>
      <c r="BZ93" s="123">
        <f t="shared" si="83"/>
        <v>0</v>
      </c>
      <c r="CA93" s="178"/>
      <c r="CB93" s="123">
        <f t="shared" si="84"/>
        <v>0</v>
      </c>
      <c r="CC93" s="178"/>
      <c r="CD93" s="123">
        <f t="shared" si="85"/>
        <v>0</v>
      </c>
      <c r="CE93" s="178"/>
      <c r="CF93" s="123">
        <f t="shared" si="86"/>
        <v>0</v>
      </c>
      <c r="CG93" s="180"/>
      <c r="CH93" s="123">
        <f t="shared" si="87"/>
        <v>0</v>
      </c>
      <c r="CI93" s="178"/>
      <c r="CJ93" s="181"/>
      <c r="CK93" s="178"/>
      <c r="CL93" s="123">
        <f t="shared" si="88"/>
        <v>0</v>
      </c>
      <c r="CM93" s="182"/>
      <c r="CN93" s="123">
        <f t="shared" si="89"/>
        <v>0</v>
      </c>
      <c r="CO93" s="178">
        <v>0</v>
      </c>
      <c r="CP93" s="123">
        <v>0</v>
      </c>
      <c r="CQ93" s="178"/>
      <c r="CR93" s="123">
        <f t="shared" si="90"/>
        <v>0</v>
      </c>
      <c r="CS93" s="123"/>
      <c r="CT93" s="133">
        <f t="shared" si="91"/>
        <v>0</v>
      </c>
      <c r="CU93" s="181"/>
      <c r="CV93" s="181"/>
      <c r="CW93" s="126">
        <f t="shared" si="92"/>
        <v>22</v>
      </c>
      <c r="CX93" s="126">
        <f t="shared" si="92"/>
        <v>5426939.3629733333</v>
      </c>
    </row>
    <row r="94" spans="1:117" s="186" customFormat="1" ht="24" customHeight="1" thickBot="1" x14ac:dyDescent="0.3">
      <c r="A94" s="183"/>
      <c r="B94" s="116">
        <v>69</v>
      </c>
      <c r="C94" s="117" t="s">
        <v>276</v>
      </c>
      <c r="D94" s="184" t="s">
        <v>277</v>
      </c>
      <c r="E94" s="95">
        <v>28004</v>
      </c>
      <c r="F94" s="96">
        <v>29405</v>
      </c>
      <c r="G94" s="119">
        <v>7.2</v>
      </c>
      <c r="H94" s="107">
        <v>1</v>
      </c>
      <c r="I94" s="107"/>
      <c r="J94" s="107"/>
      <c r="K94" s="107"/>
      <c r="L94" s="63"/>
      <c r="M94" s="185">
        <v>1.4</v>
      </c>
      <c r="N94" s="185">
        <v>1.68</v>
      </c>
      <c r="O94" s="185">
        <v>2.23</v>
      </c>
      <c r="P94" s="185">
        <v>2.57</v>
      </c>
      <c r="Q94" s="122"/>
      <c r="R94" s="123">
        <f t="shared" si="59"/>
        <v>0</v>
      </c>
      <c r="S94" s="124"/>
      <c r="T94" s="125">
        <f t="shared" si="60"/>
        <v>0</v>
      </c>
      <c r="U94" s="123">
        <v>5</v>
      </c>
      <c r="V94" s="123">
        <f t="shared" si="61"/>
        <v>1971890.3399999999</v>
      </c>
      <c r="W94" s="123"/>
      <c r="X94" s="126">
        <f t="shared" si="62"/>
        <v>0</v>
      </c>
      <c r="Y94" s="123"/>
      <c r="Z94" s="123">
        <f t="shared" si="63"/>
        <v>0</v>
      </c>
      <c r="AA94" s="123"/>
      <c r="AB94" s="123">
        <f t="shared" si="64"/>
        <v>0</v>
      </c>
      <c r="AC94" s="123"/>
      <c r="AD94" s="123"/>
      <c r="AE94" s="123">
        <v>4</v>
      </c>
      <c r="AF94" s="127">
        <f t="shared" si="93"/>
        <v>1293814.368</v>
      </c>
      <c r="AG94" s="123">
        <v>0</v>
      </c>
      <c r="AH94" s="126">
        <f t="shared" si="94"/>
        <v>0</v>
      </c>
      <c r="AI94" s="130">
        <v>1</v>
      </c>
      <c r="AJ94" s="123">
        <f t="shared" si="65"/>
        <v>379793.31599999999</v>
      </c>
      <c r="AK94" s="123"/>
      <c r="AL94" s="123">
        <f t="shared" si="66"/>
        <v>0</v>
      </c>
      <c r="AM94" s="132"/>
      <c r="AN94" s="123">
        <f t="shared" si="95"/>
        <v>0</v>
      </c>
      <c r="AO94" s="130"/>
      <c r="AP94" s="127">
        <f t="shared" si="67"/>
        <v>0</v>
      </c>
      <c r="AQ94" s="127">
        <v>0</v>
      </c>
      <c r="AR94" s="127">
        <v>0</v>
      </c>
      <c r="AS94" s="123"/>
      <c r="AT94" s="123">
        <f t="shared" si="68"/>
        <v>0</v>
      </c>
      <c r="AU94" s="123"/>
      <c r="AV94" s="126">
        <f t="shared" si="96"/>
        <v>0</v>
      </c>
      <c r="AW94" s="123"/>
      <c r="AX94" s="123">
        <f t="shared" si="69"/>
        <v>0</v>
      </c>
      <c r="AY94" s="123">
        <v>1</v>
      </c>
      <c r="AZ94" s="123">
        <f t="shared" si="70"/>
        <v>388144.31040000002</v>
      </c>
      <c r="BA94" s="123"/>
      <c r="BB94" s="123">
        <f t="shared" si="71"/>
        <v>0</v>
      </c>
      <c r="BC94" s="123"/>
      <c r="BD94" s="126">
        <f t="shared" si="72"/>
        <v>0</v>
      </c>
      <c r="BE94" s="123"/>
      <c r="BF94" s="123">
        <f t="shared" si="73"/>
        <v>0</v>
      </c>
      <c r="BG94" s="123"/>
      <c r="BH94" s="123">
        <f t="shared" si="74"/>
        <v>0</v>
      </c>
      <c r="BI94" s="123"/>
      <c r="BJ94" s="126">
        <f t="shared" si="75"/>
        <v>0</v>
      </c>
      <c r="BK94" s="123"/>
      <c r="BL94" s="127">
        <f t="shared" si="76"/>
        <v>0</v>
      </c>
      <c r="BM94" s="123"/>
      <c r="BN94" s="123">
        <f t="shared" si="77"/>
        <v>0</v>
      </c>
      <c r="BO94" s="123"/>
      <c r="BP94" s="123">
        <f t="shared" si="78"/>
        <v>0</v>
      </c>
      <c r="BQ94" s="123"/>
      <c r="BR94" s="123">
        <f t="shared" si="79"/>
        <v>0</v>
      </c>
      <c r="BS94" s="123">
        <v>0</v>
      </c>
      <c r="BT94" s="123">
        <f t="shared" si="80"/>
        <v>0</v>
      </c>
      <c r="BU94" s="123"/>
      <c r="BV94" s="126">
        <f t="shared" si="81"/>
        <v>0</v>
      </c>
      <c r="BW94" s="123"/>
      <c r="BX94" s="123">
        <f t="shared" si="82"/>
        <v>0</v>
      </c>
      <c r="BY94" s="123"/>
      <c r="BZ94" s="123">
        <f t="shared" si="83"/>
        <v>0</v>
      </c>
      <c r="CA94" s="123"/>
      <c r="CB94" s="123">
        <f t="shared" si="84"/>
        <v>0</v>
      </c>
      <c r="CC94" s="123"/>
      <c r="CD94" s="123">
        <f t="shared" si="85"/>
        <v>0</v>
      </c>
      <c r="CE94" s="123"/>
      <c r="CF94" s="123">
        <f t="shared" si="86"/>
        <v>0</v>
      </c>
      <c r="CG94" s="132"/>
      <c r="CH94" s="123">
        <f t="shared" si="87"/>
        <v>0</v>
      </c>
      <c r="CI94" s="123"/>
      <c r="CJ94" s="127"/>
      <c r="CK94" s="123"/>
      <c r="CL94" s="123">
        <f t="shared" si="88"/>
        <v>0</v>
      </c>
      <c r="CM94" s="123"/>
      <c r="CN94" s="123">
        <f t="shared" si="89"/>
        <v>0</v>
      </c>
      <c r="CO94" s="123">
        <v>0</v>
      </c>
      <c r="CP94" s="123">
        <v>0</v>
      </c>
      <c r="CQ94" s="123"/>
      <c r="CR94" s="123">
        <f t="shared" si="90"/>
        <v>0</v>
      </c>
      <c r="CS94" s="123"/>
      <c r="CT94" s="133">
        <f t="shared" si="91"/>
        <v>0</v>
      </c>
      <c r="CU94" s="127"/>
      <c r="CV94" s="127"/>
      <c r="CW94" s="126">
        <f t="shared" si="92"/>
        <v>11</v>
      </c>
      <c r="CX94" s="126">
        <f t="shared" si="92"/>
        <v>4033642.3343999996</v>
      </c>
    </row>
    <row r="95" spans="1:117" ht="30" x14ac:dyDescent="0.25">
      <c r="A95" s="187"/>
      <c r="B95" s="116">
        <v>70</v>
      </c>
      <c r="C95" s="117" t="s">
        <v>278</v>
      </c>
      <c r="D95" s="188" t="s">
        <v>279</v>
      </c>
      <c r="E95" s="95">
        <v>28004</v>
      </c>
      <c r="F95" s="96">
        <v>29405</v>
      </c>
      <c r="G95" s="189">
        <v>1.18</v>
      </c>
      <c r="H95" s="110">
        <v>0.9</v>
      </c>
      <c r="I95" s="110">
        <v>0.85</v>
      </c>
      <c r="J95" s="190"/>
      <c r="K95" s="190"/>
      <c r="L95" s="63"/>
      <c r="M95" s="191">
        <v>1.4</v>
      </c>
      <c r="N95" s="191">
        <v>1.68</v>
      </c>
      <c r="O95" s="191">
        <v>2.23</v>
      </c>
      <c r="P95" s="192">
        <v>2.57</v>
      </c>
      <c r="Q95" s="193">
        <v>7</v>
      </c>
      <c r="R95" s="123">
        <f>(Q95/12*2*$E95*$G95*$H95*$M95*$R$11)+(Q95/12*10*$F95*$G95*$I95*$M95*$R$11)</f>
        <v>318380.69365666667</v>
      </c>
      <c r="S95" s="194">
        <v>8</v>
      </c>
      <c r="T95" s="125">
        <f>(S95/12*2*$E95*$G95*$H95*$M95*$R$11)+(S95/12*10*$F95*$G95*$I95*$M95*$R$11)</f>
        <v>363863.64989333326</v>
      </c>
      <c r="U95" s="135"/>
      <c r="V95" s="123">
        <f>(U95/12*2*$E95*$G95*$H95*$M95*$V$11)+(U95/12*10*$F95*$G95*$I95*$M95*$V$12)</f>
        <v>0</v>
      </c>
      <c r="W95" s="135"/>
      <c r="X95" s="126">
        <f>(W95/12*2*$E95*$G95*$H95*$M95*$X$11)+(W95/12*10*$F95*$G95*$I95*$M95*$X$12)</f>
        <v>0</v>
      </c>
      <c r="Y95" s="123"/>
      <c r="Z95" s="123">
        <f>(Y95/12*2*$E95*$G95*$H95*$M95*$Z$11)+(Y95/12*10*$F95*$G95*$I95*$M95*$Z$12)</f>
        <v>0</v>
      </c>
      <c r="AA95" s="135"/>
      <c r="AB95" s="123">
        <f>(AA95/12*2*$E95*$G95*$H95*$M95*$AB$11)+(AA95/12*10*$F95*$G95*$I95*$M95*$AB$11)</f>
        <v>0</v>
      </c>
      <c r="AC95" s="135"/>
      <c r="AD95" s="135"/>
      <c r="AE95" s="135"/>
      <c r="AF95" s="127">
        <f>(AE95/12*2*$E95*$G95*$H95*$M95*$AF$11)+(AE95/12*10*$F95*$G95*$I95*$M95*$AF$11)</f>
        <v>0</v>
      </c>
      <c r="AG95" s="123">
        <v>390</v>
      </c>
      <c r="AH95" s="126">
        <f>(AG95/12*2*$E95*$G95*$H95*$M95*$AH$11)+(AG95/12*10*$F95*$G95*$I95*$M95*$AH$11)</f>
        <v>17738352.932300001</v>
      </c>
      <c r="AI95" s="195">
        <v>12</v>
      </c>
      <c r="AJ95" s="123">
        <f>(AI95/12*2*$E95*$G95*$H95*$M95*$AJ$11)+(AI95/12*5*$F95*$G95*$I95*$M95*$AJ$12)+(AI95/12*5*$F95*$G95*$I95*$M95*$AJ$13)</f>
        <v>640901.96561999992</v>
      </c>
      <c r="AK95" s="135">
        <v>16</v>
      </c>
      <c r="AL95" s="123">
        <f>(AK95/12*2*$E95*$G95*$H95*$N95*$AL$11)+(AK95/12*5*$F95*$G95*$I95*$N95*$AL$12)+(AK95/12*5*$F95*$G95*$I95*$N95*$AL$13)</f>
        <v>1025443.1449919997</v>
      </c>
      <c r="AM95" s="129"/>
      <c r="AN95" s="123">
        <f>(AM95/12*2*$E95*$G95*$H95*$N95*$AN$11)+(AM95/12*10*$F95*$G95*$I95*$N95*$AN$12)</f>
        <v>0</v>
      </c>
      <c r="AO95" s="130">
        <v>1</v>
      </c>
      <c r="AP95" s="127">
        <f>(AO95/12*2*$E95*$G95*$H95*$N95*$AP$11)+(AO95/12*10*$F95*$G95*$I95*$N95*$AP$11)</f>
        <v>54579.547483999988</v>
      </c>
      <c r="AQ95" s="196">
        <v>1</v>
      </c>
      <c r="AR95" s="196">
        <v>54503.46</v>
      </c>
      <c r="AS95" s="135"/>
      <c r="AT95" s="123"/>
      <c r="AU95" s="135"/>
      <c r="AV95" s="126"/>
      <c r="AW95" s="135">
        <v>3</v>
      </c>
      <c r="AX95" s="123">
        <f>(AW95/12*2*$E95*$G95*$H95*$M95*$AX$11)+(AW95/12*10*$F95*$G95*$I95*$M95*$AX$12)</f>
        <v>142659.73616999999</v>
      </c>
      <c r="AY95" s="135">
        <v>138</v>
      </c>
      <c r="AZ95" s="123">
        <f>(AY95/12*2*$E95*$G95*$H95*$N95*$AZ$11)+(AY95/12*10*$F95*$G95*$I95*$N95*$AZ$11)</f>
        <v>7531977.5527920006</v>
      </c>
      <c r="BA95" s="135"/>
      <c r="BB95" s="123">
        <f>(BA95/12*2*$E95*$G95*$H95*$N95*$BB$11)+(BA95/12*10*$F95*$G95*$I95*$N95*$BB$12)</f>
        <v>0</v>
      </c>
      <c r="BC95" s="135"/>
      <c r="BD95" s="126"/>
      <c r="BE95" s="135"/>
      <c r="BF95" s="123">
        <f>(BE95/12*10*$F95*$G95*$I95*$N95*$BF$12)</f>
        <v>0</v>
      </c>
      <c r="BG95" s="135">
        <v>2</v>
      </c>
      <c r="BH95" s="123">
        <f>(BG95/12*2*$E95*$G95*$H95*$N95*$BH$11)+(BG95/12*10*$F95*$G95*$I95*$N95*$BH$11)</f>
        <v>89311.986791999982</v>
      </c>
      <c r="BI95" s="135">
        <v>13</v>
      </c>
      <c r="BJ95" s="126">
        <f>(BI95/12*2*$E95*$G95*$H95*$N95*$BJ$11)+(BI95/12*10*$F95*$G95*$I95*$N95*$BJ$11)</f>
        <v>774037.21886399982</v>
      </c>
      <c r="BK95" s="135">
        <v>2</v>
      </c>
      <c r="BL95" s="127">
        <f>(BK95/12*2*$E95*$G95*$H95*$N95*$BL$11)+(BK95/12*10*$F95*$G95*$I95*$N95*$BL$11)</f>
        <v>119082.64905599997</v>
      </c>
      <c r="BM95" s="135"/>
      <c r="BN95" s="123">
        <f>(BM95/12*2*$E95*$G95*$H95*$M95*$BN$11)+(BM95/12*10*$F95*$G95*$I95*$M95*$BN$11)</f>
        <v>0</v>
      </c>
      <c r="BO95" s="135"/>
      <c r="BP95" s="123">
        <f>(BO95/12*2*$E95*$G95*$H95*$M95*$BP$11)+(BO95/12*10*$F95*$G95*$I95*$M95*$BP$12)</f>
        <v>0</v>
      </c>
      <c r="BQ95" s="135"/>
      <c r="BR95" s="123">
        <f>(BQ95/12*2*$E95*$G95*$H95*$M95*$BR$11)+(BQ95/12*10*$F95*$G95*$I95*$M95*$BR$11)</f>
        <v>0</v>
      </c>
      <c r="BS95" s="135">
        <v>25</v>
      </c>
      <c r="BT95" s="123">
        <f>(BS95/12*2*$E95*$G95*$H95*$N95*$BT$11)+(BS95/12*10*$F95*$G95*$I95*$N95*$BT$11)</f>
        <v>1240444.2610000002</v>
      </c>
      <c r="BU95" s="135"/>
      <c r="BV95" s="126">
        <f>(BU95/12*2*$E95*$G95*$H95*$M95*$BV$11)+(BU95/12*10*$F95*$G95*$I95*$M95*$BV$11)</f>
        <v>0</v>
      </c>
      <c r="BW95" s="135"/>
      <c r="BX95" s="123">
        <f>(BW95/12*2*$E95*$G95*$H95*$M95*$BX$11)+(BW95/12*10*$F95*$G95*$I95*$M95*$BX$11)</f>
        <v>0</v>
      </c>
      <c r="BY95" s="135">
        <v>18</v>
      </c>
      <c r="BZ95" s="123">
        <f>(BY95/12*2*$E95*$G95*$H95*$M95*$BZ$11)+(BY95/12*10*$F95*$G95*$I95*$M95*$BZ$11)</f>
        <v>744266.55659999989</v>
      </c>
      <c r="CA95" s="135">
        <v>125</v>
      </c>
      <c r="CB95" s="123">
        <f>(CA95/12*2*$E95*$G95*$H95*$M95*$CB$11)+(CA95/12*10*$F95*$G95*$I95*$M95*$CB$11)</f>
        <v>6202221.3049999978</v>
      </c>
      <c r="CC95" s="135">
        <v>33</v>
      </c>
      <c r="CD95" s="123">
        <f>(CC95/12*2*$E95*$G95*$H95*$M95*$CD$11)+(CC95/12*10*$F95*$G95*$I95*$M95*$CD$11)</f>
        <v>1364488.6870999997</v>
      </c>
      <c r="CE95" s="135">
        <v>14</v>
      </c>
      <c r="CF95" s="123">
        <f>(CE95/12*10*$F95*$G95*$I95*$N95*$CF$11)</f>
        <v>578067.01399999997</v>
      </c>
      <c r="CG95" s="129"/>
      <c r="CH95" s="123">
        <f>(CG95/12*2*$E95*$G95*$H95*$N95*$CH$11)+(CG95/12*10*$F95*$G95*$I95*$N95*$CH$11)</f>
        <v>0</v>
      </c>
      <c r="CI95" s="135"/>
      <c r="CJ95" s="196"/>
      <c r="CK95" s="135">
        <v>25</v>
      </c>
      <c r="CL95" s="123">
        <f>(CK95/12*2*$E95*$G95*$H95*$N95*$CL$11)+(CK95/12*10*$F95*$G95*$I95*$N95*$CL$12)</f>
        <v>1095581.6613000003</v>
      </c>
      <c r="CM95" s="195">
        <v>1</v>
      </c>
      <c r="CN95" s="123">
        <f>(CM95/12*2*$E95*$G95*$H95*$N95*$CN$11)+(CM95/12*10*$F95*$G95*$I95*$N95*$CN$11)</f>
        <v>49617.770439999986</v>
      </c>
      <c r="CO95" s="135">
        <v>0</v>
      </c>
      <c r="CP95" s="123">
        <v>0</v>
      </c>
      <c r="CQ95" s="135">
        <v>10</v>
      </c>
      <c r="CR95" s="123">
        <f>(CQ95/12*2*$E95*$G95*$H95*$O95*$CR$11)+(CQ95/12*10*$F95*$G95*$I95*$O95*$CR$11)</f>
        <v>658616.83381666674</v>
      </c>
      <c r="CS95" s="135">
        <v>4</v>
      </c>
      <c r="CT95" s="133">
        <f>(CS95/12*2*$E95*$G95*$H95*$P95*$CT$11)+(CS95/12*10*$F95*$G95*$I95*$P95*$CT$11)</f>
        <v>303613.50007333327</v>
      </c>
      <c r="CU95" s="196"/>
      <c r="CV95" s="196"/>
      <c r="CW95" s="126">
        <f t="shared" si="92"/>
        <v>848</v>
      </c>
      <c r="CX95" s="126">
        <f t="shared" si="92"/>
        <v>41090012.126950011</v>
      </c>
    </row>
    <row r="96" spans="1:117" ht="30" customHeight="1" x14ac:dyDescent="0.25">
      <c r="A96" s="91"/>
      <c r="B96" s="116">
        <v>71</v>
      </c>
      <c r="C96" s="117" t="s">
        <v>280</v>
      </c>
      <c r="D96" s="161" t="s">
        <v>281</v>
      </c>
      <c r="E96" s="95">
        <v>28004</v>
      </c>
      <c r="F96" s="96">
        <v>29405</v>
      </c>
      <c r="G96" s="119">
        <v>0.98</v>
      </c>
      <c r="H96" s="107">
        <v>1</v>
      </c>
      <c r="I96" s="108"/>
      <c r="J96" s="108"/>
      <c r="K96" s="108"/>
      <c r="L96" s="63"/>
      <c r="M96" s="120">
        <v>1.4</v>
      </c>
      <c r="N96" s="120">
        <v>1.68</v>
      </c>
      <c r="O96" s="120">
        <v>2.23</v>
      </c>
      <c r="P96" s="121">
        <v>2.57</v>
      </c>
      <c r="Q96" s="122">
        <v>0</v>
      </c>
      <c r="R96" s="123">
        <f t="shared" ref="R96:R101" si="97">(Q96/12*2*$E96*$G96*$H96*$M96*$R$11)+(Q96/12*10*$F96*$G96*$H96*$M96*$R$11)</f>
        <v>0</v>
      </c>
      <c r="S96" s="124"/>
      <c r="T96" s="125">
        <f t="shared" ref="T96:T101" si="98">(S96/12*2*$E96*$G96*$H96*$M96*$R$11)+(S96/12*10*$F96*$G96*$H96*$M96*$R$11)</f>
        <v>0</v>
      </c>
      <c r="U96" s="123">
        <v>487</v>
      </c>
      <c r="V96" s="123">
        <f t="shared" ref="V96:V101" si="99">(U96/12*2*$E96*$G96*$H96*$M96*$V$11)+(U96/12*10*$F96*$G96*$H96*$M96*$V$12)</f>
        <v>26141788.435233332</v>
      </c>
      <c r="W96" s="123"/>
      <c r="X96" s="126">
        <f t="shared" ref="X96:X101" si="100">(W96/12*2*$E96*$G96*$H96*$M96*$X$11)+(W96/12*10*$F96*$G96*$H96*$M96*$X$12)</f>
        <v>0</v>
      </c>
      <c r="Y96" s="123"/>
      <c r="Z96" s="123">
        <f t="shared" ref="Z96:Z101" si="101">(Y96/12*2*$E96*$G96*$H96*$M96*$Z$11)+(Y96/12*10*$F96*$G96*$H96*$M96*$Z$12)</f>
        <v>0</v>
      </c>
      <c r="AA96" s="123"/>
      <c r="AB96" s="123">
        <f t="shared" ref="AB96:AB101" si="102">(AA96/12*2*$E96*$G96*$H96*$M96*$AB$11)+(AA96/12*10*$F96*$G96*$H96*$M96*$AB$11)</f>
        <v>0</v>
      </c>
      <c r="AC96" s="123"/>
      <c r="AD96" s="123"/>
      <c r="AE96" s="123"/>
      <c r="AF96" s="127">
        <f t="shared" ref="AF96:AF101" si="103">(AE96/12*2*$E96*$G96*$H96*$M96*$AF$11)+(AE96/12*10*$F96*$G96*$H96*$M96*$AF$11)</f>
        <v>0</v>
      </c>
      <c r="AG96" s="123">
        <v>95</v>
      </c>
      <c r="AH96" s="126">
        <f t="shared" ref="AH96:AH101" si="104">(AG96/12*2*$E96*$G96*$H96*$M96*$AH$11)+(AG96/12*10*$F96*$G96*$H96*$M96*$AH$11)</f>
        <v>4182434.6410000008</v>
      </c>
      <c r="AI96" s="130"/>
      <c r="AJ96" s="123">
        <f t="shared" ref="AJ96:AJ101" si="105">(AI96/12*2*$E96*$G96*$H96*$M96*$AJ$11)+(AI96/12*5*$F96*$G96*$H96*$M96*$AJ$12)+(AI96/12*5*$F96*$G96*$H96*$M96*$AJ$13)</f>
        <v>0</v>
      </c>
      <c r="AK96" s="123"/>
      <c r="AL96" s="123">
        <f t="shared" ref="AL96:AL101" si="106">(AK96/12*2*$E96*$G96*$H96*$N96*$AL$11)+(AK96/12*5*$F96*$G96*$H96*$N96*$AL$12)++(AK96/12*5*$F96*$G96*$H96*$N96*$AL$13)</f>
        <v>0</v>
      </c>
      <c r="AM96" s="132"/>
      <c r="AN96" s="123">
        <f t="shared" ref="AN96:AN101" si="107">(AM96/12*2*$E96*$G96*$H96*$N96*$AN$11)+(AM96/12*10*$F96*$G96*$H96*$N96*$AN$12)</f>
        <v>0</v>
      </c>
      <c r="AO96" s="130">
        <v>2</v>
      </c>
      <c r="AP96" s="127">
        <f t="shared" ref="AP96:AP101" si="108">(AO96/12*2*$E96*$G96*$H96*$N96*$AP$11)+(AO96/12*10*$F96*$G96*$H96*$N96*$AP$11)</f>
        <v>105661.50672</v>
      </c>
      <c r="AQ96" s="127">
        <v>0</v>
      </c>
      <c r="AR96" s="127">
        <v>0</v>
      </c>
      <c r="AS96" s="123"/>
      <c r="AT96" s="123">
        <f t="shared" ref="AT96:AT101" si="109">(AS96/12*2*$E96*$G96*$H96*$M96*$AT$11)+(AS96/12*10*$F96*$G96*$H96*$M96*$AT$11)</f>
        <v>0</v>
      </c>
      <c r="AU96" s="123"/>
      <c r="AV96" s="126">
        <f t="shared" ref="AV96:AV101" si="110">(AU96/12*2*$E96*$G96*$H96*$M96*$AV$11)+(AU96/12*10*$F96*$G96*$H96*$M96*$AV$12)</f>
        <v>0</v>
      </c>
      <c r="AW96" s="123"/>
      <c r="AX96" s="123">
        <f t="shared" ref="AX96:AX101" si="111">(AW96/12*2*$E96*$G96*$H96*$M96*$AX$11)+(AW96/12*10*$F96*$G96*$H96*$M96*$AX$12)</f>
        <v>0</v>
      </c>
      <c r="AY96" s="123">
        <v>350</v>
      </c>
      <c r="AZ96" s="123">
        <f t="shared" ref="AZ96:AZ101" si="112">(AY96/12*2*$E96*$G96*$H96*$N96*$AZ$11)+(AY96/12*10*$F96*$G96*$H96*$N96*$AZ$11)</f>
        <v>18490763.676000003</v>
      </c>
      <c r="BA96" s="123"/>
      <c r="BB96" s="123">
        <f t="shared" ref="BB96:BB101" si="113">(BA96/12*2*$E96*$G96*$H96*$N96*$BB$11)+(BA96/12*10*$F96*$G96*$H96*$N96*$BB$12)</f>
        <v>0</v>
      </c>
      <c r="BC96" s="123"/>
      <c r="BD96" s="126">
        <f>(BC96/12*2*$E96*$G96*$H96*$N96*$BD$11)+(BC96/12*10*$F96*$G96*$H96*$N96*$BD$12)</f>
        <v>0</v>
      </c>
      <c r="BE96" s="123"/>
      <c r="BF96" s="123">
        <f t="shared" ref="BF96:BF101" si="114">(BE96/12*10*$F96*$G96*$H96*$N96*$BF$12)</f>
        <v>0</v>
      </c>
      <c r="BG96" s="123"/>
      <c r="BH96" s="123">
        <f t="shared" ref="BH96:BH101" si="115">(BG96/12*2*$E96*$G96*$H96*$N96*$BH$11)+(BG96/12*10*$F96*$G96*$H96*$N96*$BH$11)</f>
        <v>0</v>
      </c>
      <c r="BI96" s="123">
        <v>11</v>
      </c>
      <c r="BJ96" s="126">
        <f t="shared" ref="BJ96:BJ101" si="116">(BI96/12*2*$E96*$G96*$H96*$N96*$BJ$11)+(BI96/12*10*$F96*$G96*$H96*$N96*$BJ$11)</f>
        <v>633969.0403199998</v>
      </c>
      <c r="BK96" s="123">
        <v>0</v>
      </c>
      <c r="BL96" s="127">
        <f t="shared" ref="BL96:BL101" si="117">(BK96/12*2*$E96*$G96*$H96*$N96*$BL$11)+(BK96/12*10*$F96*$G96*$H96*$N96*$BL$11)</f>
        <v>0</v>
      </c>
      <c r="BM96" s="123"/>
      <c r="BN96" s="123">
        <f t="shared" ref="BN96:BN101" si="118">(BM96/12*2*$E96*$G96*$H96*$M96*$BN$11)+(BM96/12*10*$F96*$G96*$H96*$M96*$BN$11)</f>
        <v>0</v>
      </c>
      <c r="BO96" s="123">
        <v>27</v>
      </c>
      <c r="BP96" s="123">
        <f>(BO96*$F96*$G96*$H96*$M96*$BP$12)</f>
        <v>980350.93799999985</v>
      </c>
      <c r="BQ96" s="123"/>
      <c r="BR96" s="123">
        <f t="shared" ref="BR96:BR101" si="119">(BQ96/12*2*$E96*$G96*$H96*$M96*$BR$11)+(BQ96/12*10*$F96*$G96*$H96*$M96*$BR$11)</f>
        <v>0</v>
      </c>
      <c r="BS96" s="123">
        <v>10</v>
      </c>
      <c r="BT96" s="123">
        <f t="shared" ref="BT96:BT101" si="120">(BS96/12*2*$E96*$G96*$H96*$N96*$BT$11)+(BS96/12*10*$F96*$G96*$H96*$N96*$BT$11)</f>
        <v>480279.576</v>
      </c>
      <c r="BU96" s="123"/>
      <c r="BV96" s="126">
        <f t="shared" ref="BV96:BV101" si="121">(BU96/12*2*$E96*$G96*$H96*$M96*$BV$11)+(BU96/12*10*$F96*$G96*$H96*$M96*$BV$11)</f>
        <v>0</v>
      </c>
      <c r="BW96" s="123"/>
      <c r="BX96" s="123">
        <f t="shared" ref="BX96:BX101" si="122">(BW96/12*2*$E96*$G96*$H96*$M96*$BX$11)+(BW96/12*10*$F96*$G96*$H96*$M96*$BX$11)</f>
        <v>0</v>
      </c>
      <c r="BY96" s="123">
        <v>10</v>
      </c>
      <c r="BZ96" s="123">
        <f t="shared" ref="BZ96:BZ101" si="123">(BY96/12*2*$E96*$G96*$H96*$M96*$BZ$11)+(BY96/12*10*$F96*$G96*$H96*$M96*$BZ$11)</f>
        <v>400232.98000000004</v>
      </c>
      <c r="CA96" s="123">
        <v>9</v>
      </c>
      <c r="CB96" s="123">
        <f t="shared" ref="CB96:CB101" si="124">(CA96/12*2*$E96*$G96*$H96*$M96*$CB$11)+(CA96/12*10*$F96*$G96*$H96*$M96*$CB$11)</f>
        <v>432251.61839999992</v>
      </c>
      <c r="CC96" s="123">
        <v>12</v>
      </c>
      <c r="CD96" s="123">
        <f t="shared" ref="CD96:CD101" si="125">(CC96/12*2*$E96*$G96*$H96*$M96*$CD$11)+(CC96/12*10*$F96*$G96*$H96*$M96*$CD$11)</f>
        <v>480279.576</v>
      </c>
      <c r="CE96" s="123">
        <v>39</v>
      </c>
      <c r="CF96" s="123">
        <f t="shared" ref="CF96:CF101" si="126">(CE96/12*10*$F96*$G96*$H96*$N96*$CF$11)</f>
        <v>1573402.74</v>
      </c>
      <c r="CG96" s="132"/>
      <c r="CH96" s="123">
        <f t="shared" ref="CH96:CH101" si="127">(CG96/12*2*$E96*$G96*$H96*$N96*$CH$11)+(CG96/12*10*$F96*$G96*$H96*$N96*$CH$11)</f>
        <v>0</v>
      </c>
      <c r="CI96" s="123"/>
      <c r="CJ96" s="127"/>
      <c r="CK96" s="123">
        <v>25</v>
      </c>
      <c r="CL96" s="123">
        <f t="shared" ref="CL96:CL101" si="128">(CK96/12*2*$E96*$G96*$H96*$N96*$CL$11)+(CK96/12*10*$F96*$G96*$H96*$N96*$CL$12)</f>
        <v>1061418.3019999999</v>
      </c>
      <c r="CM96" s="130">
        <v>15</v>
      </c>
      <c r="CN96" s="123">
        <f t="shared" ref="CN96:CN101" si="129">(CM96/12*2*$E96*$G96*$H96*$N96*$CN$11)+(CM96/12*10*$F96*$G96*$H96*$N96*$CN$11)</f>
        <v>720419.36400000006</v>
      </c>
      <c r="CO96" s="123">
        <v>0</v>
      </c>
      <c r="CP96" s="123">
        <v>0</v>
      </c>
      <c r="CQ96" s="123"/>
      <c r="CR96" s="123">
        <f t="shared" ref="CR96:CR101" si="130">(CQ96/12*2*$E96*$G96*$H96*$O96*$CR$11)+(CQ96/12*10*$F96*$G96*$H96*$O96*$CR$11)</f>
        <v>0</v>
      </c>
      <c r="CS96" s="123">
        <v>4</v>
      </c>
      <c r="CT96" s="133">
        <f t="shared" ref="CT96:CT101" si="131">(CS96/12*2*$E96*$G96*$H96*$P96*$CT$11)+(CS96/12*10*$F96*$G96*$H96*$P96*$CT$11)</f>
        <v>293885.35959999997</v>
      </c>
      <c r="CU96" s="127"/>
      <c r="CV96" s="127"/>
      <c r="CW96" s="126">
        <f t="shared" si="92"/>
        <v>1096</v>
      </c>
      <c r="CX96" s="126">
        <f t="shared" si="92"/>
        <v>55977137.753273338</v>
      </c>
    </row>
    <row r="97" spans="1:102" ht="45" x14ac:dyDescent="0.25">
      <c r="A97" s="91"/>
      <c r="B97" s="116">
        <v>72</v>
      </c>
      <c r="C97" s="117" t="s">
        <v>282</v>
      </c>
      <c r="D97" s="161" t="s">
        <v>283</v>
      </c>
      <c r="E97" s="95">
        <v>28004</v>
      </c>
      <c r="F97" s="96">
        <v>29405</v>
      </c>
      <c r="G97" s="119">
        <v>0.35</v>
      </c>
      <c r="H97" s="107">
        <v>1</v>
      </c>
      <c r="I97" s="108"/>
      <c r="J97" s="108"/>
      <c r="K97" s="108"/>
      <c r="L97" s="63"/>
      <c r="M97" s="120">
        <v>1.4</v>
      </c>
      <c r="N97" s="120">
        <v>1.68</v>
      </c>
      <c r="O97" s="120">
        <v>2.23</v>
      </c>
      <c r="P97" s="121">
        <v>2.57</v>
      </c>
      <c r="Q97" s="122">
        <v>15</v>
      </c>
      <c r="R97" s="123">
        <f t="shared" si="97"/>
        <v>235851.57749999998</v>
      </c>
      <c r="S97" s="124"/>
      <c r="T97" s="125">
        <f t="shared" si="98"/>
        <v>0</v>
      </c>
      <c r="U97" s="123"/>
      <c r="V97" s="123">
        <f t="shared" si="99"/>
        <v>0</v>
      </c>
      <c r="W97" s="123"/>
      <c r="X97" s="126">
        <f t="shared" si="100"/>
        <v>0</v>
      </c>
      <c r="Y97" s="123"/>
      <c r="Z97" s="123">
        <f t="shared" si="101"/>
        <v>0</v>
      </c>
      <c r="AA97" s="123"/>
      <c r="AB97" s="123">
        <f t="shared" si="102"/>
        <v>0</v>
      </c>
      <c r="AC97" s="123"/>
      <c r="AD97" s="123"/>
      <c r="AE97" s="123"/>
      <c r="AF97" s="127">
        <f t="shared" si="103"/>
        <v>0</v>
      </c>
      <c r="AG97" s="123">
        <v>250</v>
      </c>
      <c r="AH97" s="126">
        <f t="shared" si="104"/>
        <v>3930859.6249999995</v>
      </c>
      <c r="AI97" s="130">
        <v>0</v>
      </c>
      <c r="AJ97" s="123">
        <f t="shared" si="105"/>
        <v>0</v>
      </c>
      <c r="AK97" s="123"/>
      <c r="AL97" s="123">
        <f t="shared" si="106"/>
        <v>0</v>
      </c>
      <c r="AM97" s="132"/>
      <c r="AN97" s="123">
        <f t="shared" si="107"/>
        <v>0</v>
      </c>
      <c r="AO97" s="130">
        <v>1</v>
      </c>
      <c r="AP97" s="127">
        <f t="shared" si="108"/>
        <v>18868.126199999999</v>
      </c>
      <c r="AQ97" s="127">
        <v>16</v>
      </c>
      <c r="AR97" s="127">
        <v>302494.08000000002</v>
      </c>
      <c r="AS97" s="123"/>
      <c r="AT97" s="123">
        <f t="shared" si="109"/>
        <v>0</v>
      </c>
      <c r="AU97" s="123"/>
      <c r="AV97" s="126">
        <f t="shared" si="110"/>
        <v>0</v>
      </c>
      <c r="AW97" s="123"/>
      <c r="AX97" s="123">
        <f t="shared" si="111"/>
        <v>0</v>
      </c>
      <c r="AY97" s="123">
        <v>330</v>
      </c>
      <c r="AZ97" s="123">
        <f t="shared" si="112"/>
        <v>6226481.6460000006</v>
      </c>
      <c r="BA97" s="123"/>
      <c r="BB97" s="123">
        <f t="shared" si="113"/>
        <v>0</v>
      </c>
      <c r="BC97" s="123"/>
      <c r="BD97" s="126">
        <f t="shared" ref="BD97:BD105" si="132">(BC97/12*2*$E97*$G97*$H97*$N97*$BD$11)+(BC97/12*10*$F97*$G97*$H97*$N97*$BD$12)</f>
        <v>0</v>
      </c>
      <c r="BE97" s="123">
        <v>4</v>
      </c>
      <c r="BF97" s="123">
        <f t="shared" si="114"/>
        <v>57633.799999999988</v>
      </c>
      <c r="BG97" s="123">
        <v>11</v>
      </c>
      <c r="BH97" s="123">
        <f t="shared" si="115"/>
        <v>169813.13579999999</v>
      </c>
      <c r="BI97" s="123">
        <v>45</v>
      </c>
      <c r="BJ97" s="126">
        <f t="shared" si="116"/>
        <v>926253.46799999988</v>
      </c>
      <c r="BK97" s="123">
        <v>13</v>
      </c>
      <c r="BL97" s="127">
        <f t="shared" si="117"/>
        <v>267584.33519999991</v>
      </c>
      <c r="BM97" s="123"/>
      <c r="BN97" s="123">
        <f t="shared" si="118"/>
        <v>0</v>
      </c>
      <c r="BO97" s="123"/>
      <c r="BP97" s="123">
        <f t="shared" ref="BP97" si="133">(BO97*$F97*$G97*$H97*$M97*$BP$12)</f>
        <v>0</v>
      </c>
      <c r="BQ97" s="123"/>
      <c r="BR97" s="123">
        <f t="shared" si="119"/>
        <v>0</v>
      </c>
      <c r="BS97" s="123">
        <v>32</v>
      </c>
      <c r="BT97" s="123">
        <f t="shared" si="120"/>
        <v>548890.9439999999</v>
      </c>
      <c r="BU97" s="123"/>
      <c r="BV97" s="126">
        <f t="shared" si="121"/>
        <v>0</v>
      </c>
      <c r="BW97" s="123"/>
      <c r="BX97" s="123">
        <f t="shared" si="122"/>
        <v>0</v>
      </c>
      <c r="BY97" s="123">
        <v>30</v>
      </c>
      <c r="BZ97" s="123">
        <f t="shared" si="123"/>
        <v>428821.04999999993</v>
      </c>
      <c r="CA97" s="123">
        <v>40</v>
      </c>
      <c r="CB97" s="123">
        <f t="shared" si="124"/>
        <v>686113.67999999982</v>
      </c>
      <c r="CC97" s="123">
        <v>86</v>
      </c>
      <c r="CD97" s="123">
        <f t="shared" si="125"/>
        <v>1229287.01</v>
      </c>
      <c r="CE97" s="123">
        <v>76</v>
      </c>
      <c r="CF97" s="123">
        <f t="shared" si="126"/>
        <v>1095042.1999999997</v>
      </c>
      <c r="CG97" s="132">
        <v>107</v>
      </c>
      <c r="CH97" s="123">
        <f t="shared" si="127"/>
        <v>1651818.6845999996</v>
      </c>
      <c r="CI97" s="123"/>
      <c r="CJ97" s="127"/>
      <c r="CK97" s="123">
        <v>60</v>
      </c>
      <c r="CL97" s="123">
        <f>(CK97/12*2*$E97*$G97*$H97*$N97*$CL$11)+(CK97/12*10*$F97*$G97*$H97*$N97*$CL$12)</f>
        <v>909787.11599999992</v>
      </c>
      <c r="CM97" s="130">
        <v>8</v>
      </c>
      <c r="CN97" s="123">
        <f t="shared" si="129"/>
        <v>137222.73599999998</v>
      </c>
      <c r="CO97" s="123">
        <v>30</v>
      </c>
      <c r="CP97" s="123">
        <v>287342.06000000011</v>
      </c>
      <c r="CQ97" s="123">
        <v>20</v>
      </c>
      <c r="CR97" s="123">
        <f t="shared" si="130"/>
        <v>455367.11499999999</v>
      </c>
      <c r="CS97" s="123">
        <v>17</v>
      </c>
      <c r="CT97" s="133">
        <f t="shared" si="131"/>
        <v>446075.99224999995</v>
      </c>
      <c r="CU97" s="127"/>
      <c r="CV97" s="127"/>
      <c r="CW97" s="126">
        <f t="shared" si="92"/>
        <v>1191</v>
      </c>
      <c r="CX97" s="126">
        <f t="shared" si="92"/>
        <v>20011608.381549999</v>
      </c>
    </row>
    <row r="98" spans="1:102" ht="30" customHeight="1" x14ac:dyDescent="0.25">
      <c r="A98" s="91"/>
      <c r="B98" s="116">
        <v>73</v>
      </c>
      <c r="C98" s="117" t="s">
        <v>284</v>
      </c>
      <c r="D98" s="161" t="s">
        <v>285</v>
      </c>
      <c r="E98" s="95">
        <v>28004</v>
      </c>
      <c r="F98" s="96">
        <v>29405</v>
      </c>
      <c r="G98" s="119">
        <v>0.5</v>
      </c>
      <c r="H98" s="107">
        <v>1</v>
      </c>
      <c r="I98" s="108"/>
      <c r="J98" s="108"/>
      <c r="K98" s="108"/>
      <c r="L98" s="63"/>
      <c r="M98" s="120">
        <v>1.4</v>
      </c>
      <c r="N98" s="120">
        <v>1.68</v>
      </c>
      <c r="O98" s="120">
        <v>2.23</v>
      </c>
      <c r="P98" s="121">
        <v>2.57</v>
      </c>
      <c r="Q98" s="122">
        <v>17</v>
      </c>
      <c r="R98" s="123">
        <f t="shared" si="97"/>
        <v>381854.93500000006</v>
      </c>
      <c r="S98" s="124"/>
      <c r="T98" s="125">
        <f t="shared" si="98"/>
        <v>0</v>
      </c>
      <c r="U98" s="123">
        <f>1300-120</f>
        <v>1180</v>
      </c>
      <c r="V98" s="123">
        <f t="shared" si="99"/>
        <v>32317091.68333333</v>
      </c>
      <c r="W98" s="123"/>
      <c r="X98" s="126">
        <f t="shared" si="100"/>
        <v>0</v>
      </c>
      <c r="Y98" s="123"/>
      <c r="Z98" s="123">
        <f t="shared" si="101"/>
        <v>0</v>
      </c>
      <c r="AA98" s="123"/>
      <c r="AB98" s="123">
        <f t="shared" si="102"/>
        <v>0</v>
      </c>
      <c r="AC98" s="123"/>
      <c r="AD98" s="123"/>
      <c r="AE98" s="123"/>
      <c r="AF98" s="127">
        <f t="shared" si="103"/>
        <v>0</v>
      </c>
      <c r="AG98" s="123">
        <v>30</v>
      </c>
      <c r="AH98" s="126">
        <f t="shared" si="104"/>
        <v>673861.65</v>
      </c>
      <c r="AI98" s="130"/>
      <c r="AJ98" s="123">
        <f t="shared" si="105"/>
        <v>0</v>
      </c>
      <c r="AK98" s="123">
        <v>1</v>
      </c>
      <c r="AL98" s="123">
        <f t="shared" si="106"/>
        <v>31649.442999999996</v>
      </c>
      <c r="AM98" s="132"/>
      <c r="AN98" s="123">
        <f t="shared" si="107"/>
        <v>0</v>
      </c>
      <c r="AO98" s="130">
        <v>1</v>
      </c>
      <c r="AP98" s="127">
        <f t="shared" si="108"/>
        <v>26954.466</v>
      </c>
      <c r="AQ98" s="127">
        <v>2</v>
      </c>
      <c r="AR98" s="127">
        <v>54340.44</v>
      </c>
      <c r="AS98" s="123"/>
      <c r="AT98" s="123">
        <f t="shared" si="109"/>
        <v>0</v>
      </c>
      <c r="AU98" s="123"/>
      <c r="AV98" s="126">
        <f t="shared" si="110"/>
        <v>0</v>
      </c>
      <c r="AW98" s="123"/>
      <c r="AX98" s="123">
        <f t="shared" si="111"/>
        <v>0</v>
      </c>
      <c r="AY98" s="123">
        <v>1518</v>
      </c>
      <c r="AZ98" s="123">
        <f t="shared" si="112"/>
        <v>40916879.388000004</v>
      </c>
      <c r="BA98" s="123">
        <v>250</v>
      </c>
      <c r="BB98" s="123">
        <f>(BA98/12*2*$E98*$G98*$H98*$N98*$BB$11)+(BA98/12*10*$F98*$G98*$H98*$N98*$BB$12)</f>
        <v>5920179.9999999991</v>
      </c>
      <c r="BC98" s="123"/>
      <c r="BD98" s="126">
        <f t="shared" si="132"/>
        <v>0</v>
      </c>
      <c r="BE98" s="123">
        <v>98</v>
      </c>
      <c r="BF98" s="123">
        <f t="shared" si="114"/>
        <v>2017182.9999999998</v>
      </c>
      <c r="BG98" s="123">
        <v>96</v>
      </c>
      <c r="BH98" s="123">
        <f t="shared" si="115"/>
        <v>2117150.784</v>
      </c>
      <c r="BI98" s="123">
        <v>244</v>
      </c>
      <c r="BJ98" s="126">
        <f t="shared" si="116"/>
        <v>7174788.7679999992</v>
      </c>
      <c r="BK98" s="123">
        <v>236</v>
      </c>
      <c r="BL98" s="127">
        <f t="shared" si="117"/>
        <v>6939549.7920000004</v>
      </c>
      <c r="BM98" s="123">
        <v>6</v>
      </c>
      <c r="BN98" s="123">
        <f t="shared" si="118"/>
        <v>122520.3</v>
      </c>
      <c r="BO98" s="123">
        <v>1</v>
      </c>
      <c r="BP98" s="123">
        <f>(BO98*$F98*$G98*$H98*$M98*$BP$12)</f>
        <v>18525.150000000001</v>
      </c>
      <c r="BQ98" s="123"/>
      <c r="BR98" s="123">
        <f t="shared" si="119"/>
        <v>0</v>
      </c>
      <c r="BS98" s="123">
        <v>200</v>
      </c>
      <c r="BT98" s="123">
        <f t="shared" si="120"/>
        <v>4900812</v>
      </c>
      <c r="BU98" s="123"/>
      <c r="BV98" s="126">
        <f t="shared" si="121"/>
        <v>0</v>
      </c>
      <c r="BW98" s="123"/>
      <c r="BX98" s="123">
        <f t="shared" si="122"/>
        <v>0</v>
      </c>
      <c r="BY98" s="123">
        <v>216</v>
      </c>
      <c r="BZ98" s="123">
        <f t="shared" si="123"/>
        <v>4410730.8</v>
      </c>
      <c r="CA98" s="123">
        <v>326</v>
      </c>
      <c r="CB98" s="123">
        <f t="shared" si="124"/>
        <v>7988323.5599999987</v>
      </c>
      <c r="CC98" s="123">
        <v>166</v>
      </c>
      <c r="CD98" s="123">
        <f t="shared" si="125"/>
        <v>3389728.3</v>
      </c>
      <c r="CE98" s="123">
        <v>236</v>
      </c>
      <c r="CF98" s="123">
        <f t="shared" si="126"/>
        <v>4857706</v>
      </c>
      <c r="CG98" s="132">
        <v>275</v>
      </c>
      <c r="CH98" s="123">
        <f t="shared" si="127"/>
        <v>6064754.8499999996</v>
      </c>
      <c r="CI98" s="123"/>
      <c r="CJ98" s="127"/>
      <c r="CK98" s="123">
        <f>160+16</f>
        <v>176</v>
      </c>
      <c r="CL98" s="123">
        <f t="shared" si="128"/>
        <v>3812441.2479999997</v>
      </c>
      <c r="CM98" s="130">
        <v>9</v>
      </c>
      <c r="CN98" s="123">
        <f t="shared" si="129"/>
        <v>220536.54</v>
      </c>
      <c r="CO98" s="123">
        <v>215</v>
      </c>
      <c r="CP98" s="123">
        <v>2036208.3599999982</v>
      </c>
      <c r="CQ98" s="123">
        <v>100</v>
      </c>
      <c r="CR98" s="123">
        <f t="shared" si="130"/>
        <v>3252622.25</v>
      </c>
      <c r="CS98" s="123">
        <v>230</v>
      </c>
      <c r="CT98" s="133">
        <f t="shared" si="131"/>
        <v>8621636.8250000011</v>
      </c>
      <c r="CU98" s="127"/>
      <c r="CV98" s="127"/>
      <c r="CW98" s="126">
        <f t="shared" si="92"/>
        <v>5829</v>
      </c>
      <c r="CX98" s="126">
        <f t="shared" si="92"/>
        <v>148268030.53233328</v>
      </c>
    </row>
    <row r="99" spans="1:102" ht="29.25" customHeight="1" x14ac:dyDescent="0.25">
      <c r="A99" s="91"/>
      <c r="B99" s="116">
        <v>74</v>
      </c>
      <c r="C99" s="117" t="s">
        <v>286</v>
      </c>
      <c r="D99" s="161" t="s">
        <v>287</v>
      </c>
      <c r="E99" s="95">
        <v>28004</v>
      </c>
      <c r="F99" s="96">
        <v>29405</v>
      </c>
      <c r="G99" s="197">
        <v>1</v>
      </c>
      <c r="H99" s="107">
        <v>1</v>
      </c>
      <c r="I99" s="108"/>
      <c r="J99" s="108"/>
      <c r="K99" s="108"/>
      <c r="L99" s="63"/>
      <c r="M99" s="120">
        <v>1.4</v>
      </c>
      <c r="N99" s="120">
        <v>1.68</v>
      </c>
      <c r="O99" s="120">
        <v>2.23</v>
      </c>
      <c r="P99" s="121">
        <v>2.57</v>
      </c>
      <c r="Q99" s="122"/>
      <c r="R99" s="123">
        <f t="shared" si="97"/>
        <v>0</v>
      </c>
      <c r="S99" s="124"/>
      <c r="T99" s="125">
        <f t="shared" si="98"/>
        <v>0</v>
      </c>
      <c r="U99" s="123">
        <v>24</v>
      </c>
      <c r="V99" s="123">
        <f t="shared" si="99"/>
        <v>1314593.56</v>
      </c>
      <c r="W99" s="123"/>
      <c r="X99" s="126">
        <f t="shared" si="100"/>
        <v>0</v>
      </c>
      <c r="Y99" s="123"/>
      <c r="Z99" s="123">
        <f t="shared" si="101"/>
        <v>0</v>
      </c>
      <c r="AA99" s="123"/>
      <c r="AB99" s="123">
        <f t="shared" si="102"/>
        <v>0</v>
      </c>
      <c r="AC99" s="123"/>
      <c r="AD99" s="123"/>
      <c r="AE99" s="123"/>
      <c r="AF99" s="127">
        <f t="shared" si="103"/>
        <v>0</v>
      </c>
      <c r="AG99" s="123">
        <v>98</v>
      </c>
      <c r="AH99" s="126">
        <f t="shared" si="104"/>
        <v>4402562.7799999993</v>
      </c>
      <c r="AI99" s="130"/>
      <c r="AJ99" s="123">
        <f t="shared" si="105"/>
        <v>0</v>
      </c>
      <c r="AK99" s="123"/>
      <c r="AL99" s="123">
        <f t="shared" si="106"/>
        <v>0</v>
      </c>
      <c r="AM99" s="132"/>
      <c r="AN99" s="123">
        <f t="shared" si="107"/>
        <v>0</v>
      </c>
      <c r="AO99" s="130"/>
      <c r="AP99" s="127">
        <f t="shared" si="108"/>
        <v>0</v>
      </c>
      <c r="AQ99" s="127">
        <v>0</v>
      </c>
      <c r="AR99" s="127">
        <v>0</v>
      </c>
      <c r="AS99" s="123"/>
      <c r="AT99" s="123">
        <f t="shared" si="109"/>
        <v>0</v>
      </c>
      <c r="AU99" s="123"/>
      <c r="AV99" s="126">
        <f t="shared" si="110"/>
        <v>0</v>
      </c>
      <c r="AW99" s="123"/>
      <c r="AX99" s="123">
        <f t="shared" si="111"/>
        <v>0</v>
      </c>
      <c r="AY99" s="123">
        <v>0</v>
      </c>
      <c r="AZ99" s="123">
        <f t="shared" si="112"/>
        <v>0</v>
      </c>
      <c r="BA99" s="123"/>
      <c r="BB99" s="123">
        <f t="shared" si="113"/>
        <v>0</v>
      </c>
      <c r="BC99" s="123"/>
      <c r="BD99" s="126">
        <f t="shared" si="132"/>
        <v>0</v>
      </c>
      <c r="BE99" s="123"/>
      <c r="BF99" s="123">
        <f t="shared" si="114"/>
        <v>0</v>
      </c>
      <c r="BG99" s="123"/>
      <c r="BH99" s="123">
        <f t="shared" si="115"/>
        <v>0</v>
      </c>
      <c r="BI99" s="123">
        <v>3</v>
      </c>
      <c r="BJ99" s="126">
        <f t="shared" si="116"/>
        <v>176429.23199999999</v>
      </c>
      <c r="BK99" s="123"/>
      <c r="BL99" s="127">
        <f t="shared" si="117"/>
        <v>0</v>
      </c>
      <c r="BM99" s="123"/>
      <c r="BN99" s="123">
        <f t="shared" si="118"/>
        <v>0</v>
      </c>
      <c r="BO99" s="123"/>
      <c r="BP99" s="123">
        <f t="shared" ref="BP99:BP101" si="134">(BO99/12*2*$E99*$G99*$H99*$M99*$BP$11)+(BO99/12*10*$F99*$G99*$H99*$M99*$BP$12)</f>
        <v>0</v>
      </c>
      <c r="BQ99" s="123"/>
      <c r="BR99" s="123">
        <f t="shared" si="119"/>
        <v>0</v>
      </c>
      <c r="BS99" s="123">
        <v>3</v>
      </c>
      <c r="BT99" s="123">
        <f t="shared" si="120"/>
        <v>147024.35999999999</v>
      </c>
      <c r="BU99" s="123"/>
      <c r="BV99" s="126">
        <f t="shared" si="121"/>
        <v>0</v>
      </c>
      <c r="BW99" s="123"/>
      <c r="BX99" s="123">
        <f t="shared" si="122"/>
        <v>0</v>
      </c>
      <c r="BY99" s="123"/>
      <c r="BZ99" s="123">
        <f t="shared" si="123"/>
        <v>0</v>
      </c>
      <c r="CA99" s="123">
        <v>88</v>
      </c>
      <c r="CB99" s="123">
        <f t="shared" si="124"/>
        <v>4312714.5599999996</v>
      </c>
      <c r="CC99" s="123">
        <v>2</v>
      </c>
      <c r="CD99" s="123">
        <f t="shared" si="125"/>
        <v>81680.199999999983</v>
      </c>
      <c r="CE99" s="123"/>
      <c r="CF99" s="123">
        <f t="shared" si="126"/>
        <v>0</v>
      </c>
      <c r="CG99" s="132"/>
      <c r="CH99" s="123">
        <f t="shared" si="127"/>
        <v>0</v>
      </c>
      <c r="CI99" s="123"/>
      <c r="CJ99" s="127"/>
      <c r="CK99" s="123">
        <v>5</v>
      </c>
      <c r="CL99" s="123">
        <f t="shared" si="128"/>
        <v>216615.98</v>
      </c>
      <c r="CM99" s="130"/>
      <c r="CN99" s="123">
        <f t="shared" si="129"/>
        <v>0</v>
      </c>
      <c r="CO99" s="123">
        <v>0</v>
      </c>
      <c r="CP99" s="123">
        <v>0</v>
      </c>
      <c r="CQ99" s="123"/>
      <c r="CR99" s="123">
        <f t="shared" si="130"/>
        <v>0</v>
      </c>
      <c r="CS99" s="123"/>
      <c r="CT99" s="133">
        <f t="shared" si="131"/>
        <v>0</v>
      </c>
      <c r="CU99" s="127"/>
      <c r="CV99" s="127"/>
      <c r="CW99" s="126">
        <f t="shared" si="92"/>
        <v>223</v>
      </c>
      <c r="CX99" s="126">
        <f t="shared" si="92"/>
        <v>10651620.672</v>
      </c>
    </row>
    <row r="100" spans="1:102" ht="30" customHeight="1" x14ac:dyDescent="0.25">
      <c r="A100" s="91"/>
      <c r="B100" s="116">
        <v>75</v>
      </c>
      <c r="C100" s="117" t="s">
        <v>288</v>
      </c>
      <c r="D100" s="118" t="s">
        <v>289</v>
      </c>
      <c r="E100" s="95">
        <v>28004</v>
      </c>
      <c r="F100" s="96">
        <v>29405</v>
      </c>
      <c r="G100" s="152">
        <v>4.4000000000000004</v>
      </c>
      <c r="H100" s="107">
        <v>1</v>
      </c>
      <c r="I100" s="107"/>
      <c r="J100" s="107"/>
      <c r="K100" s="107"/>
      <c r="L100" s="63"/>
      <c r="M100" s="120">
        <v>1.4</v>
      </c>
      <c r="N100" s="120">
        <v>1.68</v>
      </c>
      <c r="O100" s="120">
        <v>2.23</v>
      </c>
      <c r="P100" s="121">
        <v>2.57</v>
      </c>
      <c r="Q100" s="122">
        <v>1</v>
      </c>
      <c r="R100" s="123">
        <f t="shared" si="97"/>
        <v>197666.084</v>
      </c>
      <c r="S100" s="124"/>
      <c r="T100" s="125">
        <f t="shared" si="98"/>
        <v>0</v>
      </c>
      <c r="U100" s="123">
        <v>2</v>
      </c>
      <c r="V100" s="123">
        <f t="shared" si="99"/>
        <v>482017.63866666664</v>
      </c>
      <c r="W100" s="123"/>
      <c r="X100" s="126">
        <f t="shared" si="100"/>
        <v>0</v>
      </c>
      <c r="Y100" s="123"/>
      <c r="Z100" s="123">
        <f t="shared" si="101"/>
        <v>0</v>
      </c>
      <c r="AA100" s="123"/>
      <c r="AB100" s="123">
        <f t="shared" si="102"/>
        <v>0</v>
      </c>
      <c r="AC100" s="123"/>
      <c r="AD100" s="123"/>
      <c r="AE100" s="123">
        <v>4</v>
      </c>
      <c r="AF100" s="127">
        <f t="shared" si="103"/>
        <v>790664.33600000001</v>
      </c>
      <c r="AG100" s="123">
        <v>15</v>
      </c>
      <c r="AH100" s="126">
        <f t="shared" si="104"/>
        <v>2964991.26</v>
      </c>
      <c r="AI100" s="130">
        <v>2</v>
      </c>
      <c r="AJ100" s="123">
        <f t="shared" si="105"/>
        <v>464191.83066666673</v>
      </c>
      <c r="AK100" s="123">
        <v>9</v>
      </c>
      <c r="AL100" s="123">
        <f t="shared" si="106"/>
        <v>2506635.8856000002</v>
      </c>
      <c r="AM100" s="132"/>
      <c r="AN100" s="123">
        <f t="shared" si="107"/>
        <v>0</v>
      </c>
      <c r="AO100" s="130"/>
      <c r="AP100" s="127">
        <f t="shared" si="108"/>
        <v>0</v>
      </c>
      <c r="AQ100" s="127">
        <v>0</v>
      </c>
      <c r="AR100" s="127">
        <v>0</v>
      </c>
      <c r="AS100" s="123"/>
      <c r="AT100" s="123">
        <f t="shared" si="109"/>
        <v>0</v>
      </c>
      <c r="AU100" s="123"/>
      <c r="AV100" s="126">
        <f t="shared" si="110"/>
        <v>0</v>
      </c>
      <c r="AW100" s="123"/>
      <c r="AX100" s="123">
        <f t="shared" si="111"/>
        <v>0</v>
      </c>
      <c r="AY100" s="123">
        <v>30</v>
      </c>
      <c r="AZ100" s="123">
        <f t="shared" si="112"/>
        <v>7115979.0240000011</v>
      </c>
      <c r="BA100" s="123"/>
      <c r="BB100" s="123">
        <f t="shared" si="113"/>
        <v>0</v>
      </c>
      <c r="BC100" s="123"/>
      <c r="BD100" s="126">
        <f t="shared" si="132"/>
        <v>0</v>
      </c>
      <c r="BE100" s="123"/>
      <c r="BF100" s="123">
        <f t="shared" si="114"/>
        <v>0</v>
      </c>
      <c r="BG100" s="123"/>
      <c r="BH100" s="123">
        <f t="shared" si="115"/>
        <v>0</v>
      </c>
      <c r="BI100" s="123"/>
      <c r="BJ100" s="126">
        <f t="shared" si="116"/>
        <v>0</v>
      </c>
      <c r="BK100" s="123"/>
      <c r="BL100" s="127">
        <f t="shared" si="117"/>
        <v>0</v>
      </c>
      <c r="BM100" s="123"/>
      <c r="BN100" s="123">
        <f t="shared" si="118"/>
        <v>0</v>
      </c>
      <c r="BO100" s="123"/>
      <c r="BP100" s="123">
        <f t="shared" si="134"/>
        <v>0</v>
      </c>
      <c r="BQ100" s="123"/>
      <c r="BR100" s="123">
        <f t="shared" si="119"/>
        <v>0</v>
      </c>
      <c r="BS100" s="123">
        <v>0</v>
      </c>
      <c r="BT100" s="123">
        <f t="shared" si="120"/>
        <v>0</v>
      </c>
      <c r="BU100" s="123"/>
      <c r="BV100" s="126">
        <f t="shared" si="121"/>
        <v>0</v>
      </c>
      <c r="BW100" s="123"/>
      <c r="BX100" s="123">
        <f t="shared" si="122"/>
        <v>0</v>
      </c>
      <c r="BY100" s="123"/>
      <c r="BZ100" s="123">
        <f t="shared" si="123"/>
        <v>0</v>
      </c>
      <c r="CA100" s="123"/>
      <c r="CB100" s="123">
        <f t="shared" si="124"/>
        <v>0</v>
      </c>
      <c r="CC100" s="123"/>
      <c r="CD100" s="123">
        <f t="shared" si="125"/>
        <v>0</v>
      </c>
      <c r="CE100" s="123"/>
      <c r="CF100" s="123">
        <f t="shared" si="126"/>
        <v>0</v>
      </c>
      <c r="CG100" s="132"/>
      <c r="CH100" s="123">
        <f t="shared" si="127"/>
        <v>0</v>
      </c>
      <c r="CI100" s="123"/>
      <c r="CJ100" s="127"/>
      <c r="CK100" s="123"/>
      <c r="CL100" s="123">
        <f t="shared" si="128"/>
        <v>0</v>
      </c>
      <c r="CM100" s="130"/>
      <c r="CN100" s="123">
        <f t="shared" si="129"/>
        <v>0</v>
      </c>
      <c r="CO100" s="123"/>
      <c r="CP100" s="123">
        <f t="shared" ref="CP100:CP101" si="135">(CO100/12*2*$E100*$G100*$H100*$N100*$CP$11)+(CO100/12*10*$F100*$G100*$H100*$N100*$CP$11)</f>
        <v>0</v>
      </c>
      <c r="CQ100" s="123"/>
      <c r="CR100" s="123">
        <f t="shared" si="130"/>
        <v>0</v>
      </c>
      <c r="CS100" s="123"/>
      <c r="CT100" s="133">
        <f t="shared" si="131"/>
        <v>0</v>
      </c>
      <c r="CU100" s="127"/>
      <c r="CV100" s="127"/>
      <c r="CW100" s="126">
        <f t="shared" si="92"/>
        <v>63</v>
      </c>
      <c r="CX100" s="126">
        <f t="shared" si="92"/>
        <v>14522146.058933336</v>
      </c>
    </row>
    <row r="101" spans="1:102" x14ac:dyDescent="0.25">
      <c r="A101" s="91"/>
      <c r="B101" s="116">
        <v>76</v>
      </c>
      <c r="C101" s="117" t="s">
        <v>290</v>
      </c>
      <c r="D101" s="161" t="s">
        <v>291</v>
      </c>
      <c r="E101" s="95">
        <v>28004</v>
      </c>
      <c r="F101" s="96">
        <v>29405</v>
      </c>
      <c r="G101" s="152">
        <v>2.2999999999999998</v>
      </c>
      <c r="H101" s="107">
        <v>1</v>
      </c>
      <c r="I101" s="108"/>
      <c r="J101" s="108"/>
      <c r="K101" s="108"/>
      <c r="L101" s="63"/>
      <c r="M101" s="120">
        <v>1.4</v>
      </c>
      <c r="N101" s="120">
        <v>1.68</v>
      </c>
      <c r="O101" s="120">
        <v>2.23</v>
      </c>
      <c r="P101" s="121">
        <v>2.57</v>
      </c>
      <c r="Q101" s="122">
        <v>2</v>
      </c>
      <c r="R101" s="123">
        <f t="shared" si="97"/>
        <v>206650.90599999996</v>
      </c>
      <c r="S101" s="124"/>
      <c r="T101" s="125">
        <f t="shared" si="98"/>
        <v>0</v>
      </c>
      <c r="U101" s="123">
        <v>1</v>
      </c>
      <c r="V101" s="123">
        <f t="shared" si="99"/>
        <v>125981.88283333331</v>
      </c>
      <c r="W101" s="123"/>
      <c r="X101" s="126">
        <f t="shared" si="100"/>
        <v>0</v>
      </c>
      <c r="Y101" s="123"/>
      <c r="Z101" s="123">
        <f t="shared" si="101"/>
        <v>0</v>
      </c>
      <c r="AA101" s="123"/>
      <c r="AB101" s="123">
        <f t="shared" si="102"/>
        <v>0</v>
      </c>
      <c r="AC101" s="123"/>
      <c r="AD101" s="123"/>
      <c r="AE101" s="123"/>
      <c r="AF101" s="127">
        <f t="shared" si="103"/>
        <v>0</v>
      </c>
      <c r="AG101" s="123">
        <v>2</v>
      </c>
      <c r="AH101" s="126">
        <f t="shared" si="104"/>
        <v>206650.90599999996</v>
      </c>
      <c r="AI101" s="130"/>
      <c r="AJ101" s="123">
        <f t="shared" si="105"/>
        <v>0</v>
      </c>
      <c r="AK101" s="123"/>
      <c r="AL101" s="123">
        <f t="shared" si="106"/>
        <v>0</v>
      </c>
      <c r="AM101" s="132"/>
      <c r="AN101" s="123">
        <f t="shared" si="107"/>
        <v>0</v>
      </c>
      <c r="AO101" s="130"/>
      <c r="AP101" s="127">
        <f t="shared" si="108"/>
        <v>0</v>
      </c>
      <c r="AQ101" s="127">
        <v>0</v>
      </c>
      <c r="AR101" s="127">
        <v>0</v>
      </c>
      <c r="AS101" s="123"/>
      <c r="AT101" s="123">
        <f t="shared" si="109"/>
        <v>0</v>
      </c>
      <c r="AU101" s="123"/>
      <c r="AV101" s="126">
        <f t="shared" si="110"/>
        <v>0</v>
      </c>
      <c r="AW101" s="123"/>
      <c r="AX101" s="123">
        <f t="shared" si="111"/>
        <v>0</v>
      </c>
      <c r="AY101" s="123">
        <v>0</v>
      </c>
      <c r="AZ101" s="123">
        <f t="shared" si="112"/>
        <v>0</v>
      </c>
      <c r="BA101" s="123"/>
      <c r="BB101" s="123">
        <f t="shared" si="113"/>
        <v>0</v>
      </c>
      <c r="BC101" s="123"/>
      <c r="BD101" s="126">
        <f t="shared" si="132"/>
        <v>0</v>
      </c>
      <c r="BE101" s="123"/>
      <c r="BF101" s="123">
        <f t="shared" si="114"/>
        <v>0</v>
      </c>
      <c r="BG101" s="123"/>
      <c r="BH101" s="123">
        <f t="shared" si="115"/>
        <v>0</v>
      </c>
      <c r="BI101" s="123"/>
      <c r="BJ101" s="126">
        <f t="shared" si="116"/>
        <v>0</v>
      </c>
      <c r="BK101" s="123"/>
      <c r="BL101" s="127">
        <f t="shared" si="117"/>
        <v>0</v>
      </c>
      <c r="BM101" s="123"/>
      <c r="BN101" s="123">
        <f t="shared" si="118"/>
        <v>0</v>
      </c>
      <c r="BO101" s="123"/>
      <c r="BP101" s="123">
        <f t="shared" si="134"/>
        <v>0</v>
      </c>
      <c r="BQ101" s="123"/>
      <c r="BR101" s="123">
        <f t="shared" si="119"/>
        <v>0</v>
      </c>
      <c r="BS101" s="123">
        <v>0</v>
      </c>
      <c r="BT101" s="123">
        <f t="shared" si="120"/>
        <v>0</v>
      </c>
      <c r="BU101" s="123"/>
      <c r="BV101" s="126">
        <f t="shared" si="121"/>
        <v>0</v>
      </c>
      <c r="BW101" s="123"/>
      <c r="BX101" s="123">
        <f t="shared" si="122"/>
        <v>0</v>
      </c>
      <c r="BY101" s="123"/>
      <c r="BZ101" s="123">
        <f t="shared" si="123"/>
        <v>0</v>
      </c>
      <c r="CA101" s="123"/>
      <c r="CB101" s="123">
        <f t="shared" si="124"/>
        <v>0</v>
      </c>
      <c r="CC101" s="123"/>
      <c r="CD101" s="123">
        <f t="shared" si="125"/>
        <v>0</v>
      </c>
      <c r="CE101" s="123"/>
      <c r="CF101" s="123">
        <f t="shared" si="126"/>
        <v>0</v>
      </c>
      <c r="CG101" s="132"/>
      <c r="CH101" s="123">
        <f t="shared" si="127"/>
        <v>0</v>
      </c>
      <c r="CI101" s="123"/>
      <c r="CJ101" s="127"/>
      <c r="CK101" s="123">
        <v>1</v>
      </c>
      <c r="CL101" s="123">
        <f t="shared" si="128"/>
        <v>99643.350799999986</v>
      </c>
      <c r="CM101" s="130"/>
      <c r="CN101" s="123">
        <f t="shared" si="129"/>
        <v>0</v>
      </c>
      <c r="CO101" s="123"/>
      <c r="CP101" s="123">
        <f t="shared" si="135"/>
        <v>0</v>
      </c>
      <c r="CQ101" s="123"/>
      <c r="CR101" s="123">
        <f t="shared" si="130"/>
        <v>0</v>
      </c>
      <c r="CS101" s="123"/>
      <c r="CT101" s="133">
        <f t="shared" si="131"/>
        <v>0</v>
      </c>
      <c r="CU101" s="127"/>
      <c r="CV101" s="127"/>
      <c r="CW101" s="126">
        <f t="shared" si="92"/>
        <v>6</v>
      </c>
      <c r="CX101" s="126">
        <f t="shared" si="92"/>
        <v>638927.04563333327</v>
      </c>
    </row>
    <row r="102" spans="1:102" ht="27.75" customHeight="1" x14ac:dyDescent="0.25">
      <c r="A102" s="91"/>
      <c r="B102" s="116">
        <v>77</v>
      </c>
      <c r="C102" s="117" t="s">
        <v>292</v>
      </c>
      <c r="D102" s="161" t="s">
        <v>293</v>
      </c>
      <c r="E102" s="95">
        <v>28004</v>
      </c>
      <c r="F102" s="96">
        <v>29405</v>
      </c>
      <c r="G102" s="152">
        <v>1.89</v>
      </c>
      <c r="H102" s="110">
        <v>0.8</v>
      </c>
      <c r="I102" s="153"/>
      <c r="J102" s="153"/>
      <c r="K102" s="153"/>
      <c r="L102" s="142">
        <v>0.91120000000000001</v>
      </c>
      <c r="M102" s="120">
        <v>1.4</v>
      </c>
      <c r="N102" s="120">
        <v>1.68</v>
      </c>
      <c r="O102" s="120">
        <v>2.23</v>
      </c>
      <c r="P102" s="121">
        <v>2.57</v>
      </c>
      <c r="Q102" s="122"/>
      <c r="R102" s="143">
        <f>(Q102/12*2*$E102*$G102*((1-$L102)+$L102*$M102*$R$11*$H102))+(Q102/12*10*$F102*$G102*((1-$L102)+$L102*$M102*$R$11*$H102))</f>
        <v>0</v>
      </c>
      <c r="S102" s="157"/>
      <c r="T102" s="144">
        <f>(S102/12*2*$E102*$G102*((1-$L102)+$L102*$M102*$R$11*$H102))+(S102/12*10*$F102*$G102*((1-$L102)+$L102*$M102*$R$11*$H102))</f>
        <v>0</v>
      </c>
      <c r="U102" s="143">
        <v>3</v>
      </c>
      <c r="V102" s="143">
        <f>(U102/12*2*$E102*$G102*((1-$L102)+$L102*$M102*V$11*$H102))+(U102/12*10*$F102*$G102*((1-$L102)+$L102*$M102*V$12*$H102))</f>
        <v>241082.829767808</v>
      </c>
      <c r="W102" s="123"/>
      <c r="X102" s="143">
        <f>(W102/12*2*$E102*$G102*((1-$L102)+$L102*$M102*$X$11*$H102))+(W102/12*10*$F102*$G102*((1-$L102)+$L102*$M102*$X$12*$H102))</f>
        <v>0</v>
      </c>
      <c r="Y102" s="123"/>
      <c r="Z102" s="143">
        <f>(Y102/12*2*$E102*$G102*((1-$L102)+$L102*$M102*$Z$11*$H102))+(Y102/12*10*$F102*$G102*((1-$L102)+$L102*$M102*$Z$12*$H102))</f>
        <v>0</v>
      </c>
      <c r="AA102" s="123"/>
      <c r="AB102" s="143">
        <f>(AA102/12*2*$E102*$G102*((1-$L102)+$L102*$M102*$AB$11*$H102))+(AA102/12*10*$F102*$G102*((1-$L102)+$L102*$M102*$AB$11*$H102))</f>
        <v>0</v>
      </c>
      <c r="AC102" s="123"/>
      <c r="AD102" s="123"/>
      <c r="AE102" s="123"/>
      <c r="AF102" s="158">
        <f>(AE102/12*2*$E102*$G102*((1-$L102)+$L102*$M102*AF$11*$H102))+(AE102/12*10*$F102*$G102*((1-$L102)+$L102*$M102*AF$11*$H102))</f>
        <v>0</v>
      </c>
      <c r="AG102" s="123">
        <v>243</v>
      </c>
      <c r="AH102" s="143">
        <f>(AG102/12*2*$E102*$G102*((1-$L102)+$L102*$H102*AH$11*$M102))+(AG102/12*10*$F102*$G102*((1-$L102)+$L102*$H102*AH$11*$M102))</f>
        <v>16229824.910625311</v>
      </c>
      <c r="AI102" s="130"/>
      <c r="AJ102" s="143">
        <f t="shared" ref="AJ102:AJ105" si="136">(AI102/12*2*$E102*$G102*((1-$L102)+$L102*$H102*AJ$11*$M102))+(AI102/12*5*$F102*$G102*((1-$L102)+$L102*$H102*AJ$12*$M102))+(AI102/12*5*$F102*$G102*((1-$L102)+$L102*$H102*AJ$13*$M102))</f>
        <v>0</v>
      </c>
      <c r="AK102" s="123"/>
      <c r="AL102" s="143">
        <f t="shared" ref="AL102:AL105" si="137">(AK102/12*2*$E102*$G102*((1-$L102)+$L102*$H102*AL$11*$N102))+(AK102/12*4*$F102*$G102*((1-$L102)+$L102*$H102*AL$12*$N102))+(AK102/12*6*$F102*$G102*((1-$L102)+$L102*$H102*AL$13*$N102))</f>
        <v>0</v>
      </c>
      <c r="AM102" s="132"/>
      <c r="AN102" s="143">
        <f>(AM102/12*2*$E102*$G102*((1-$L102)+$L102*$N102*$AN$11*H102))+(AM102/12*10*$F102*$G102*((1-$L102)+$L102*$N102*$AN$12*H102))</f>
        <v>0</v>
      </c>
      <c r="AO102" s="130"/>
      <c r="AP102" s="143">
        <f>(AO102/12*2*$E102*$G102*((1-$L102)+$L102*$H102*AP$11*$N102))+(AO102/12*10*$F102*$G102*((1-$L102)+$L102*$H102*AP$11*$N102))</f>
        <v>0</v>
      </c>
      <c r="AQ102" s="143">
        <v>0</v>
      </c>
      <c r="AR102" s="143">
        <v>0</v>
      </c>
      <c r="AS102" s="123"/>
      <c r="AT102" s="123"/>
      <c r="AU102" s="123"/>
      <c r="AV102" s="123"/>
      <c r="AW102" s="123"/>
      <c r="AX102" s="143">
        <f>(AW102/12*2*$E102*$G102*((1-$L102)+$L102*$H102*AX$11*$M102))+(AW102/12*10*$F102*$G102*((1-$L102)+$L102*$H102*AX$12*$M102))</f>
        <v>0</v>
      </c>
      <c r="AY102" s="123">
        <v>280</v>
      </c>
      <c r="AZ102" s="143">
        <f>(AY102/12*2*$E102*$G102*((1-$L102)+$L102*$N102*$H102*$AZ$11))+(AY102/12*10*$F102*$G102*((1-$L102)+$L102*$N102*$H102*$AZ$11))</f>
        <v>22167068.356065027</v>
      </c>
      <c r="BA102" s="123"/>
      <c r="BB102" s="143">
        <f>(BA102/12*2*$E102*$G102*((1-$L102)+$L102*$H102*BB$11*$N102))+(BA102/12*10*$F102*$G102*((1-$L102)+$L102*$H102*BB$12*$N102))</f>
        <v>0</v>
      </c>
      <c r="BC102" s="123"/>
      <c r="BD102" s="146">
        <f t="shared" si="132"/>
        <v>0</v>
      </c>
      <c r="BE102" s="123"/>
      <c r="BF102" s="143">
        <f>(BE102/12*2*$E102*$G102*((1-$L102)+$L102*$H102*BF$11*$N102))+(BE102/12*10*$F102*$G102*((1-$L102)+$L102*$H102*BF$12*$N102))</f>
        <v>0</v>
      </c>
      <c r="BG102" s="123"/>
      <c r="BH102" s="143">
        <f>(BG102/12*2*$E102*$G102*((1-$L102)+$L102*$H102*BH$11*$N102))+(BG102/12*10*$F102*$G102*((1-$L102)+$L102*$H102*BH$11*$N102))</f>
        <v>0</v>
      </c>
      <c r="BI102" s="123"/>
      <c r="BJ102" s="143">
        <f>(BI102/12*2*$E102*$G102*((1-$L102)+$L102*$H102*BJ$11*$N102))+(BI102/12*10*$F102*$G102*((1-$L102)+$L102*$H102*BJ$11*$N102))</f>
        <v>0</v>
      </c>
      <c r="BK102" s="123"/>
      <c r="BL102" s="143">
        <f>(BK102/12*2*$E102*$G102*((1-$L102)+$L102*$H102*BL$11*$N102))+(BK102/12*10*$F102*$G102*((1-$L102)+$L102*$H102*BL$11*$N102))</f>
        <v>0</v>
      </c>
      <c r="BM102" s="123"/>
      <c r="BN102" s="143">
        <f>(BM102/12*2*$E102*$G102*((1-$L102)+$L102*$H102*BN$11*$M102))+(BM102/12*10*$F102*$G102*((1-$L102)+$L102*$H102*BN$11*$M102))</f>
        <v>0</v>
      </c>
      <c r="BO102" s="123"/>
      <c r="BP102" s="143">
        <f>(BO102/12*2*$E102*$G102*((1-$L102)+$L102*$H102*BP$11*$M102))+(BO102/12*10*$F102*$G102*((1-$L102)+$L102*$H102*BP$12*$M102))</f>
        <v>0</v>
      </c>
      <c r="BQ102" s="123"/>
      <c r="BR102" s="123"/>
      <c r="BS102" s="123">
        <v>0</v>
      </c>
      <c r="BT102" s="143">
        <f>(BS102/12*2*$E102*$G102*((1-$L102)+$L102*$H102*BT$11*$N102))+(BS102/12*10*$F102*$G102*((1-$L102)+$L102*$H102*BT$11*$N102))</f>
        <v>0</v>
      </c>
      <c r="BU102" s="123"/>
      <c r="BV102" s="123"/>
      <c r="BW102" s="123"/>
      <c r="BX102" s="143">
        <f>(BW102/12*2*$E102*$G102*((1-$L102)+$L102*$H102*BX$11*$M102))+(BW102/12*10*$F102*$G102*((1-$L102)+$L102*$H102*BX$11*$M102))</f>
        <v>0</v>
      </c>
      <c r="BY102" s="123"/>
      <c r="BZ102" s="143">
        <f>(BY102/12*2*$E102*$G102*((1-$L102)+$L102*$H102*BZ$11*$M102))+(BY102/12*10*$F102*$G102*((1-$L102)+$L102*$H102*BZ$11*$M102))</f>
        <v>0</v>
      </c>
      <c r="CA102" s="123">
        <v>1</v>
      </c>
      <c r="CB102" s="143">
        <f>(CA102/12*2*$E102*$G102*((1-$L102)+$L102*$H102*CB$11*$M102))+(CA102/12*10*$F102*$G102*((1-$L102)+$L102*$H102*CB$11*$M102))</f>
        <v>72416.083991327992</v>
      </c>
      <c r="CC102" s="123"/>
      <c r="CD102" s="146">
        <f>(CC102/12*2*$E102*$G102*((1-$L102)+$L102*$M102*$CD$11*$H102))+(CC102/12*10*$F102*$G102*((1-$L102)+$L102*$M102*$CD$11*$H102))</f>
        <v>0</v>
      </c>
      <c r="CE102" s="123">
        <v>10</v>
      </c>
      <c r="CF102" s="143">
        <f>(CE102/12*10*$F102*$G102*((1-$L102)+$L102*$H102*CF$11*$N102))</f>
        <v>608297.75344800006</v>
      </c>
      <c r="CG102" s="132"/>
      <c r="CH102" s="143">
        <f>(CG102/12*2*$E102*$G102*((1-$L102)+$L102*$H102*CH$11*$N102))+(CG102/12*10*$F102*$G102*((1-$L102)+$L102*$H102*CH$11*$N102))</f>
        <v>0</v>
      </c>
      <c r="CI102" s="123"/>
      <c r="CJ102" s="127"/>
      <c r="CK102" s="123"/>
      <c r="CL102" s="123"/>
      <c r="CM102" s="130"/>
      <c r="CN102" s="143">
        <f>((CM102/12*2*$E102*$G102*((1-$L102)+$L102*$H102*CN$11*$N102)))+((CM102/12*10*$F102*$G102*((1-$L102)+$L102*$H102*CN$11*$N102)))</f>
        <v>0</v>
      </c>
      <c r="CO102" s="123"/>
      <c r="CP102" s="143">
        <f>(CO102/12*2*$E102*$G102*((1-$L102)+$L102*$H102*CP$11*$N102))+(CO102/12*10*$F102*$G102*((1-$L102)+$L102*$H102*CP$11*$N102))</f>
        <v>0</v>
      </c>
      <c r="CQ102" s="123"/>
      <c r="CR102" s="143">
        <f>(CQ102/12*2*$E102*$G102*((1-$L102)+$L102*$H102*CR$11*$O102))+(CQ102/12*10*$F102*$G102*((1-$L102)+$L102*$H102*CR$11*$O102))</f>
        <v>0</v>
      </c>
      <c r="CS102" s="123"/>
      <c r="CT102" s="143">
        <f>(CS102/12*2*$E102*$G102*((1-$L102)+$L102*$H102*CT$11*$P102))+(CS102/12*10*$F102*$G102*((1-$L102)+$L102*$H102*CT$11*$P102))</f>
        <v>0</v>
      </c>
      <c r="CU102" s="134"/>
      <c r="CV102" s="134"/>
      <c r="CW102" s="126">
        <f t="shared" ref="CW102:CX106" si="138">SUM(Q102,S102,U102,W102,Y102,AA102,AC102,AE102,AG102,AM102,BQ102,AI102,AU102,CC102,AW102,AY102,AK102,BC102,AO102,BE102,CE102,BG102,BI102,BK102,BS102,BM102,BO102,BU102,BW102,BY102,CA102,CG102,BA102,AS102,CI102,CK102,CM102,CO102,CQ102,CS102,CU102)</f>
        <v>537</v>
      </c>
      <c r="CX102" s="146">
        <f t="shared" si="138"/>
        <v>39318689.933897473</v>
      </c>
    </row>
    <row r="103" spans="1:102" ht="30" customHeight="1" x14ac:dyDescent="0.25">
      <c r="A103" s="91"/>
      <c r="B103" s="116">
        <v>78</v>
      </c>
      <c r="C103" s="117" t="s">
        <v>294</v>
      </c>
      <c r="D103" s="161" t="s">
        <v>295</v>
      </c>
      <c r="E103" s="95">
        <v>28004</v>
      </c>
      <c r="F103" s="96">
        <v>29405</v>
      </c>
      <c r="G103" s="152">
        <v>4.08</v>
      </c>
      <c r="H103" s="110">
        <v>0.8</v>
      </c>
      <c r="I103" s="153"/>
      <c r="J103" s="153"/>
      <c r="K103" s="153"/>
      <c r="L103" s="142">
        <v>0.61299999999999999</v>
      </c>
      <c r="M103" s="120">
        <v>1.4</v>
      </c>
      <c r="N103" s="120">
        <v>1.68</v>
      </c>
      <c r="O103" s="120">
        <v>2.23</v>
      </c>
      <c r="P103" s="121">
        <v>2.57</v>
      </c>
      <c r="Q103" s="122"/>
      <c r="R103" s="143">
        <f>(Q103/12*2*$E103*$G103*((1-$L103)+$L103*$M103*$R$11*$H103))+(Q103/12*10*$F103*$G103*((1-$L103)+$L103*$M103*$R$11*$H103))</f>
        <v>0</v>
      </c>
      <c r="S103" s="124"/>
      <c r="T103" s="144">
        <f>(S103/12*2*$E103*$G103*((1-$L103)+$L103*$M103*$R$11*$H103))+(S103/12*10*$F103*$G103*((1-$L103)+$L103*$M103*$R$11*$H103))</f>
        <v>0</v>
      </c>
      <c r="U103" s="143">
        <v>60</v>
      </c>
      <c r="V103" s="143">
        <f>(U103/12*2*$E103*$G103*((1-$L103)+$L103*$M103*V$11*$H103))+(U103/12*10*$F103*$G103*((1-$L103)+$L103*$M103*V$12*$H103))</f>
        <v>9339340.0530047975</v>
      </c>
      <c r="W103" s="123"/>
      <c r="X103" s="143">
        <f>(W103/12*2*$E103*$G103*((1-$L103)+$L103*$M103*$X$11*$H103))+(W103/12*10*$F103*$G103*((1-$L103)+$L103*$M103*$X$12*$H103))</f>
        <v>0</v>
      </c>
      <c r="Y103" s="123"/>
      <c r="Z103" s="143">
        <f>(Y103/12*2*$E103*$G103*((1-$L103)+$L103*$M103*$Z$11*$H103))+(Y103/12*10*$F103*$G103*((1-$L103)+$L103*$M103*$Z$12*$H103))</f>
        <v>0</v>
      </c>
      <c r="AA103" s="123"/>
      <c r="AB103" s="143">
        <f>(AA103/12*2*$E103*$G103*((1-$L103)+$L103*$M103*$AB$11*$H103))+(AA103/12*10*$F103*$G103*((1-$L103)+$L103*$M103*$AB$11*$H103))</f>
        <v>0</v>
      </c>
      <c r="AC103" s="123"/>
      <c r="AD103" s="123"/>
      <c r="AE103" s="123"/>
      <c r="AF103" s="158">
        <f>(AE103/12*2*$E103*$G103*((1-$L103)+$L103*$M103*AF$11*$H103))+(AE103/12*10*$F103*$G103*((1-$L103)+$L103*$M103*AF$11*$H103))</f>
        <v>0</v>
      </c>
      <c r="AG103" s="123">
        <v>222</v>
      </c>
      <c r="AH103" s="143">
        <f>(AG103/12*2*$E103*$G103*((1-$L103)+$L103*$H103*AH$11*$M103))+(AG103/12*10*$F103*$G103*((1-$L103)+$L103*$H103*AH$11*$M103))</f>
        <v>30180062.726893436</v>
      </c>
      <c r="AI103" s="130"/>
      <c r="AJ103" s="143">
        <f t="shared" si="136"/>
        <v>0</v>
      </c>
      <c r="AK103" s="123"/>
      <c r="AL103" s="143">
        <f t="shared" si="137"/>
        <v>0</v>
      </c>
      <c r="AM103" s="132"/>
      <c r="AN103" s="143">
        <f>(AM103/12*2*$E103*$G103*((1-$L103)+$L103*$N103*$AN$11*H103))+(AM103/12*10*$F103*$G103*((1-$L103)+$L103*$N103*$AN$12*H103))</f>
        <v>0</v>
      </c>
      <c r="AO103" s="130"/>
      <c r="AP103" s="143">
        <f>(AO103/12*2*$E103*$G103*((1-$L103)+$L103*$H103*AP$11*$N103))+(AO103/12*10*$F103*$G103*((1-$L103)+$L103*$H103*AP$11*$N103))</f>
        <v>0</v>
      </c>
      <c r="AQ103" s="143">
        <v>0</v>
      </c>
      <c r="AR103" s="143">
        <v>0</v>
      </c>
      <c r="AS103" s="123"/>
      <c r="AT103" s="123"/>
      <c r="AU103" s="123"/>
      <c r="AV103" s="123"/>
      <c r="AW103" s="123"/>
      <c r="AX103" s="143">
        <f>(AW103/12*2*$E103*$G103*((1-$L103)+$L103*$H103*AX$11*$M103))+(AW103/12*10*$F103*$G103*((1-$L103)+$L103*$H103*AX$12*$M103))</f>
        <v>0</v>
      </c>
      <c r="AY103" s="123">
        <v>238</v>
      </c>
      <c r="AZ103" s="143">
        <f>(AY103/12*2*$E103*$G103*((1-$L103)+$L103*$N103*$H103*$AZ$11))+(AY103/12*10*$F103*$G103*((1-$L103)+$L103*$N103*$H103*$AZ$11))</f>
        <v>36633756.793398909</v>
      </c>
      <c r="BA103" s="123"/>
      <c r="BB103" s="143">
        <f>(BA103/12*2*$E103*$G103*((1-$L103)+$L103*$H103*BB$11*$N103))+(BA103/12*10*$F103*$G103*((1-$L103)+$L103*$H103*BB$12*$N103))</f>
        <v>0</v>
      </c>
      <c r="BC103" s="123"/>
      <c r="BD103" s="146">
        <f t="shared" si="132"/>
        <v>0</v>
      </c>
      <c r="BE103" s="123"/>
      <c r="BF103" s="143">
        <f>(BE103/12*2*$E103*$G103*((1-$L103)+$L103*$H103*BF$11*$N103))+(BE103/12*10*$F103*$G103*((1-$L103)+$L103*$H103*BF$12*$N103))</f>
        <v>0</v>
      </c>
      <c r="BG103" s="123"/>
      <c r="BH103" s="143">
        <f>(BG103/12*2*$E103*$G103*((1-$L103)+$L103*$H103*BH$11*$N103))+(BG103/12*10*$F103*$G103*((1-$L103)+$L103*$H103*BH$11*$N103))</f>
        <v>0</v>
      </c>
      <c r="BI103" s="123"/>
      <c r="BJ103" s="143">
        <f>(BI103/12*2*$E103*$G103*((1-$L103)+$L103*$H103*BJ$11*$N103))+(BI103/12*10*$F103*$G103*((1-$L103)+$L103*$H103*BJ$11*$N103))</f>
        <v>0</v>
      </c>
      <c r="BK103" s="123"/>
      <c r="BL103" s="143">
        <f>(BK103/12*2*$E103*$G103*((1-$L103)+$L103*$H103*BL$11*$N103))+(BK103/12*10*$F103*$G103*((1-$L103)+$L103*$H103*BL$11*$N103))</f>
        <v>0</v>
      </c>
      <c r="BM103" s="123"/>
      <c r="BN103" s="143">
        <f>(BM103/12*2*$E103*$G103*((1-$L103)+$L103*$H103*BN$11*$M103))+(BM103/12*10*$F103*$G103*((1-$L103)+$L103*$H103*BN$11*$M103))</f>
        <v>0</v>
      </c>
      <c r="BO103" s="123"/>
      <c r="BP103" s="143">
        <f>(BO103/12*2*$E103*$G103*((1-$L103)+$L103*$H103*BP$11*$M103))+(BO103/12*10*$F103*$G103*((1-$L103)+$L103*$H103*BP$12*$M103))</f>
        <v>0</v>
      </c>
      <c r="BQ103" s="123"/>
      <c r="BR103" s="123"/>
      <c r="BS103" s="123">
        <v>0</v>
      </c>
      <c r="BT103" s="143">
        <f>(BS103/12*2*$E103*$G103*((1-$L103)+$L103*$H103*BT$11*$N103))+(BS103/12*10*$F103*$G103*((1-$L103)+$L103*$H103*BT$11*$N103))</f>
        <v>0</v>
      </c>
      <c r="BU103" s="123"/>
      <c r="BV103" s="123"/>
      <c r="BW103" s="123"/>
      <c r="BX103" s="143">
        <f>(BW103/12*2*$E103*$G103*((1-$L103)+$L103*$H103*BX$11*$M103))+(BW103/12*10*$F103*$G103*((1-$L103)+$L103*$H103*BX$11*$M103))</f>
        <v>0</v>
      </c>
      <c r="BY103" s="123"/>
      <c r="BZ103" s="143">
        <f>(BY103/12*2*$E103*$G103*((1-$L103)+$L103*$H103*BZ$11*$M103))+(BY103/12*10*$F103*$G103*((1-$L103)+$L103*$H103*BZ$11*$M103))</f>
        <v>0</v>
      </c>
      <c r="CA103" s="123">
        <v>1</v>
      </c>
      <c r="CB103" s="143">
        <f>(CA103/12*2*$E103*$G103*((1-$L103)+$L103*$H103*CB$11*$M103))+(CA103/12*10*$F103*$G103*((1-$L103)+$L103*$H103*CB$11*$M103))</f>
        <v>144117.64639583998</v>
      </c>
      <c r="CC103" s="123"/>
      <c r="CD103" s="146">
        <f>(CC103/12*2*$E103*$G103*((1-$L103)+$L103*$M103*$CD$11*$H103))+(CC103/12*10*$F103*$G103*((1-$L103)+$L103*$M103*$CD$11*$H103))</f>
        <v>0</v>
      </c>
      <c r="CE103" s="123">
        <v>2</v>
      </c>
      <c r="CF103" s="143">
        <f>(CE103/12*10*$F103*$G103*((1-$L103)+$L103*$H103*CF$11*$N103))</f>
        <v>242118.69988799994</v>
      </c>
      <c r="CG103" s="132"/>
      <c r="CH103" s="143">
        <f>(CG103/12*2*$E103*$G103*((1-$L103)+$L103*$H103*CH$11*$N103))+(CG103/12*10*$F103*$G103*((1-$L103)+$L103*$H103*CH$11*$N103))</f>
        <v>0</v>
      </c>
      <c r="CI103" s="123"/>
      <c r="CJ103" s="127"/>
      <c r="CK103" s="123"/>
      <c r="CL103" s="123"/>
      <c r="CM103" s="130"/>
      <c r="CN103" s="143">
        <f>((CM103/12*2*$E103*$G103*((1-$L103)+$L103*$H103*CN$11*$N103)))+((CM103/12*10*$F103*$G103*((1-$L103)+$L103*$H103*CN$11*$N103)))</f>
        <v>0</v>
      </c>
      <c r="CO103" s="123"/>
      <c r="CP103" s="143">
        <f>(CO103/12*2*$E103*$G103*((1-$L103)+$L103*$H103*CP$11*$N103))+(CO103/12*10*$F103*$G103*((1-$L103)+$L103*$H103*CP$11*$N103))</f>
        <v>0</v>
      </c>
      <c r="CQ103" s="123"/>
      <c r="CR103" s="143">
        <f>(CQ103/12*2*$E103*$G103*((1-$L103)+$L103*$H103*CR$11*$O103))+(CQ103/12*10*$F103*$G103*((1-$L103)+$L103*$H103*CR$11*$O103))</f>
        <v>0</v>
      </c>
      <c r="CS103" s="123"/>
      <c r="CT103" s="143">
        <f>(CS103/12*2*$E103*$G103*((1-$L103)+$L103*$H103*CT$11*$P103))+(CS103/12*10*$F103*$G103*((1-$L103)+$L103*$H103*CT$11*$P103))</f>
        <v>0</v>
      </c>
      <c r="CU103" s="134"/>
      <c r="CV103" s="134"/>
      <c r="CW103" s="126">
        <f t="shared" si="138"/>
        <v>523</v>
      </c>
      <c r="CX103" s="146">
        <f t="shared" si="138"/>
        <v>76539395.919580996</v>
      </c>
    </row>
    <row r="104" spans="1:102" ht="30" customHeight="1" x14ac:dyDescent="0.25">
      <c r="A104" s="91"/>
      <c r="B104" s="116">
        <v>79</v>
      </c>
      <c r="C104" s="117" t="s">
        <v>296</v>
      </c>
      <c r="D104" s="118" t="s">
        <v>297</v>
      </c>
      <c r="E104" s="95">
        <v>28004</v>
      </c>
      <c r="F104" s="96">
        <v>29405</v>
      </c>
      <c r="G104" s="108">
        <v>6.17</v>
      </c>
      <c r="H104" s="110">
        <v>0.8</v>
      </c>
      <c r="I104" s="153"/>
      <c r="J104" s="153"/>
      <c r="K104" s="153"/>
      <c r="L104" s="142">
        <v>0.63239999999999996</v>
      </c>
      <c r="M104" s="120">
        <v>1.4</v>
      </c>
      <c r="N104" s="120">
        <v>1.68</v>
      </c>
      <c r="O104" s="120">
        <v>2.23</v>
      </c>
      <c r="P104" s="121">
        <v>2.57</v>
      </c>
      <c r="Q104" s="122"/>
      <c r="R104" s="143">
        <f>(Q104/12*2*$E104*$G104*((1-$L104)+$L104*$M104*$R$11*$H104))+(Q104/12*10*$F104*$G104*((1-$L104)+$L104*$M104*$R$11*$H104))</f>
        <v>0</v>
      </c>
      <c r="S104" s="124"/>
      <c r="T104" s="144">
        <f>(S104/12*2*$E104*$G104*((1-$L104)+$L104*$M104*$R$11*$H104))+(S104/12*10*$F104*$G104*((1-$L104)+$L104*$M104*$R$11*$H104))</f>
        <v>0</v>
      </c>
      <c r="U104" s="143">
        <v>3</v>
      </c>
      <c r="V104" s="143">
        <f>(U104/12*2*$E104*$G104*((1-$L104)+$L104*$M104*V$11*$H104))+(U104/12*10*$F104*$G104*((1-$L104)+$L104*$M104*V$12*$H104))</f>
        <v>711433.25018524798</v>
      </c>
      <c r="W104" s="123"/>
      <c r="X104" s="143">
        <f>(W104/12*2*$E104*$G104*((1-$L104)+$L104*$M104*$X$11*$H104))+(W104/12*10*$F104*$G104*((1-$L104)+$L104*$M104*$X$12*$H104))</f>
        <v>0</v>
      </c>
      <c r="Y104" s="123"/>
      <c r="Z104" s="143">
        <f>(Y104/12*2*$E104*$G104*((1-$L104)+$L104*$M104*$Z$11*$H104))+(Y104/12*10*$F104*$G104*((1-$L104)+$L104*$M104*$Z$12*$H104))</f>
        <v>0</v>
      </c>
      <c r="AA104" s="123"/>
      <c r="AB104" s="143">
        <f>(AA104/12*2*$E104*$G104*((1-$L104)+$L104*$M104*$AB$11*$H104))+(AA104/12*10*$F104*$G104*((1-$L104)+$L104*$M104*$AB$11*$H104))</f>
        <v>0</v>
      </c>
      <c r="AC104" s="123"/>
      <c r="AD104" s="123"/>
      <c r="AE104" s="123"/>
      <c r="AF104" s="158">
        <f>(AE104/12*2*$E104*$G104*((1-$L104)+$L104*$M104*AF$11*$H104))+(AE104/12*10*$F104*$G104*((1-$L104)+$L104*$M104*AF$11*$H104))</f>
        <v>0</v>
      </c>
      <c r="AG104" s="123">
        <v>55</v>
      </c>
      <c r="AH104" s="143">
        <f>(AG104/12*2*$E104*$G104*((1-$L104)+$L104*$H104*AH$11*$M104))+(AG104/12*10*$F104*$G104*((1-$L104)+$L104*$H104*AH$11*$M104))</f>
        <v>11351749.26267272</v>
      </c>
      <c r="AI104" s="130"/>
      <c r="AJ104" s="143">
        <f t="shared" si="136"/>
        <v>0</v>
      </c>
      <c r="AK104" s="123"/>
      <c r="AL104" s="143">
        <f t="shared" si="137"/>
        <v>0</v>
      </c>
      <c r="AM104" s="132"/>
      <c r="AN104" s="143">
        <f>(AM104/12*2*$E104*$G104*((1-$L104)+$L104*$N104*$AN$11*H104))+(AM104/12*10*$F104*$G104*((1-$L104)+$L104*$N104*$AN$12*H104))</f>
        <v>0</v>
      </c>
      <c r="AO104" s="130"/>
      <c r="AP104" s="143">
        <f>(AO104/12*2*$E104*$G104*((1-$L104)+$L104*$H104*AP$11*$N104))+(AO104/12*10*$F104*$G104*((1-$L104)+$L104*$H104*AP$11*$N104))</f>
        <v>0</v>
      </c>
      <c r="AQ104" s="143">
        <v>0</v>
      </c>
      <c r="AR104" s="143">
        <v>0</v>
      </c>
      <c r="AS104" s="123"/>
      <c r="AT104" s="123"/>
      <c r="AU104" s="123"/>
      <c r="AV104" s="123"/>
      <c r="AW104" s="123"/>
      <c r="AX104" s="143">
        <f>(AW104/12*2*$E104*$G104*((1-$L104)+$L104*$H104*AX$11*$M104))+(AW104/12*10*$F104*$G104*((1-$L104)+$L104*$H104*AX$12*$M104))</f>
        <v>0</v>
      </c>
      <c r="AY104" s="131">
        <v>31</v>
      </c>
      <c r="AZ104" s="143">
        <f>(AY104/12*2*$E104*$G104*((1-$L104)+$L104*$N104*$H104*$AZ$11))+(AY104/12*10*$F104*$G104*((1-$L104)+$L104*$N104*$H104*$AZ$11))</f>
        <v>7267695.8065659497</v>
      </c>
      <c r="BA104" s="123"/>
      <c r="BB104" s="143">
        <f>(BA104/12*2*$E104*$G104*((1-$L104)+$L104*$H104*BB$11*$N104))+(BA104/12*10*$F104*$G104*((1-$L104)+$L104*$H104*BB$12*$N104))</f>
        <v>0</v>
      </c>
      <c r="BC104" s="123"/>
      <c r="BD104" s="146">
        <f t="shared" si="132"/>
        <v>0</v>
      </c>
      <c r="BE104" s="123"/>
      <c r="BF104" s="143">
        <f>(BE104/12*2*$E104*$G104*((1-$L104)+$L104*$H104*BF$11*$N104))+(BE104/12*10*$F104*$G104*((1-$L104)+$L104*$H104*BF$12*$N104))</f>
        <v>0</v>
      </c>
      <c r="BG104" s="123"/>
      <c r="BH104" s="143">
        <f>(BG104/12*2*$E104*$G104*((1-$L104)+$L104*$H104*BH$11*$N104))+(BG104/12*10*$F104*$G104*((1-$L104)+$L104*$H104*BH$11*$N104))</f>
        <v>0</v>
      </c>
      <c r="BI104" s="123"/>
      <c r="BJ104" s="143">
        <f>(BI104/12*2*$E104*$G104*((1-$L104)+$L104*$H104*BJ$11*$N104))+(BI104/12*10*$F104*$G104*((1-$L104)+$L104*$H104*BJ$11*$N104))</f>
        <v>0</v>
      </c>
      <c r="BK104" s="123"/>
      <c r="BL104" s="143">
        <f>(BK104/12*2*$E104*$G104*((1-$L104)+$L104*$H104*BL$11*$N104))+(BK104/12*10*$F104*$G104*((1-$L104)+$L104*$H104*BL$11*$N104))</f>
        <v>0</v>
      </c>
      <c r="BM104" s="123"/>
      <c r="BN104" s="143">
        <f>(BM104/12*2*$E104*$G104*((1-$L104)+$L104*$H104*BN$11*$M104))+(BM104/12*10*$F104*$G104*((1-$L104)+$L104*$H104*BN$11*$M104))</f>
        <v>0</v>
      </c>
      <c r="BO104" s="123"/>
      <c r="BP104" s="143">
        <f>(BO104/12*2*$E104*$G104*((1-$L104)+$L104*$H104*BP$11*$M104))+(BO104/12*10*$F104*$G104*((1-$L104)+$L104*$H104*BP$12*$M104))</f>
        <v>0</v>
      </c>
      <c r="BQ104" s="123"/>
      <c r="BR104" s="123"/>
      <c r="BS104" s="123">
        <v>0</v>
      </c>
      <c r="BT104" s="143">
        <f>(BS104/12*2*$E104*$G104*((1-$L104)+$L104*$H104*BT$11*$N104))+(BS104/12*10*$F104*$G104*((1-$L104)+$L104*$H104*BT$11*$N104))</f>
        <v>0</v>
      </c>
      <c r="BU104" s="123"/>
      <c r="BV104" s="123"/>
      <c r="BW104" s="123"/>
      <c r="BX104" s="143">
        <f>(BW104/12*2*$E104*$G104*((1-$L104)+$L104*$H104*BX$11*$M104))+(BW104/12*10*$F104*$G104*((1-$L104)+$L104*$H104*BX$11*$M104))</f>
        <v>0</v>
      </c>
      <c r="BY104" s="123"/>
      <c r="BZ104" s="143">
        <f>(BY104/12*2*$E104*$G104*((1-$L104)+$L104*$H104*BZ$11*$M104))+(BY104/12*10*$F104*$G104*((1-$L104)+$L104*$H104*BZ$11*$M104))</f>
        <v>0</v>
      </c>
      <c r="CA104" s="123"/>
      <c r="CB104" s="143">
        <f>(CA104/12*2*$E104*$G104*((1-$L104)+$L104*$H104*CB$11*$M104))+(CA104/12*10*$F104*$G104*((1-$L104)+$L104*$H104*CB$11*$M104))</f>
        <v>0</v>
      </c>
      <c r="CC104" s="123"/>
      <c r="CD104" s="146">
        <f>(CC104/12*2*$E104*$G104*((1-$L104)+$L104*$M104*$CD$11*$H104))+(CC104/12*10*$F104*$G104*((1-$L104)+$L104*$M104*$CD$11*$H104))</f>
        <v>0</v>
      </c>
      <c r="CE104" s="123"/>
      <c r="CF104" s="143">
        <f>(CE104/12*10*$F104*$G104*((1-$L104)+$L104*$H104*CF$11*$N104))</f>
        <v>0</v>
      </c>
      <c r="CG104" s="132"/>
      <c r="CH104" s="143">
        <f>(CG104/12*2*$E104*$G104*((1-$L104)+$L104*$H104*CH$11*$N104))+(CG104/12*10*$F104*$G104*((1-$L104)+$L104*$H104*CH$11*$N104))</f>
        <v>0</v>
      </c>
      <c r="CI104" s="123"/>
      <c r="CJ104" s="127"/>
      <c r="CK104" s="123"/>
      <c r="CL104" s="123"/>
      <c r="CM104" s="130"/>
      <c r="CN104" s="143">
        <f>((CM104/12*2*$E104*$G104*((1-$L104)+$L104*$H104*CN$11*$N104)))+((CM104/12*10*$F104*$G104*((1-$L104)+$L104*$H104*CN$11*$N104)))</f>
        <v>0</v>
      </c>
      <c r="CO104" s="123"/>
      <c r="CP104" s="143">
        <f>(CO104/12*2*$E104*$G104*((1-$L104)+$L104*$H104*CP$11*$N104))+(CO104/12*10*$F104*$G104*((1-$L104)+$L104*$H104*CP$11*$N104))</f>
        <v>0</v>
      </c>
      <c r="CQ104" s="123"/>
      <c r="CR104" s="143">
        <f>(CQ104/12*2*$E104*$G104*((1-$L104)+$L104*$H104*CR$11*$O104))+(CQ104/12*10*$F104*$G104*((1-$L104)+$L104*$H104*CR$11*$O104))</f>
        <v>0</v>
      </c>
      <c r="CS104" s="123"/>
      <c r="CT104" s="143">
        <f>(CS104/12*2*$E104*$G104*((1-$L104)+$L104*$H104*CT$11*$P104))+(CS104/12*10*$F104*$G104*((1-$L104)+$L104*$H104*CT$11*$P104))</f>
        <v>0</v>
      </c>
      <c r="CU104" s="134"/>
      <c r="CV104" s="134"/>
      <c r="CW104" s="198">
        <f t="shared" si="138"/>
        <v>89</v>
      </c>
      <c r="CX104" s="199">
        <f t="shared" si="138"/>
        <v>19330878.319423918</v>
      </c>
    </row>
    <row r="105" spans="1:102" ht="30.75" customHeight="1" x14ac:dyDescent="0.25">
      <c r="A105" s="91"/>
      <c r="B105" s="116">
        <v>80</v>
      </c>
      <c r="C105" s="117" t="s">
        <v>298</v>
      </c>
      <c r="D105" s="118" t="s">
        <v>299</v>
      </c>
      <c r="E105" s="95">
        <v>28004</v>
      </c>
      <c r="F105" s="96">
        <v>29405</v>
      </c>
      <c r="G105" s="108">
        <v>12.07</v>
      </c>
      <c r="H105" s="110">
        <v>0.8</v>
      </c>
      <c r="I105" s="153"/>
      <c r="J105" s="153"/>
      <c r="K105" s="153"/>
      <c r="L105" s="142">
        <v>0.77629999999999999</v>
      </c>
      <c r="M105" s="120">
        <v>1.4</v>
      </c>
      <c r="N105" s="120">
        <v>1.68</v>
      </c>
      <c r="O105" s="120">
        <v>2.23</v>
      </c>
      <c r="P105" s="121">
        <v>2.57</v>
      </c>
      <c r="Q105" s="122"/>
      <c r="R105" s="143">
        <f>(Q105/12*2*$E105*$G105*((1-$L105)+$L105*$M105*$R$11*$H105))+(Q105/12*10*$F105*$G105*((1-$L105)+$L105*$M105*$R$11*$H105))</f>
        <v>0</v>
      </c>
      <c r="S105" s="157"/>
      <c r="T105" s="144">
        <f>(S105/12*2*$E105*$G105*((1-$L105)+$L105*$M105*$R$11*$H105))+(S105/12*10*$F105*$G105*((1-$L105)+$L105*$M105*$R$11*$H105))</f>
        <v>0</v>
      </c>
      <c r="U105" s="143"/>
      <c r="V105" s="143">
        <f>(U105/12*2*$E105*$G105*((1-$L105)+$L105*$M105*V$11*$H105))+(U105/12*10*$F105*$G105*((1-$L105)+$L105*$M105*V$12*$H105))</f>
        <v>0</v>
      </c>
      <c r="W105" s="123"/>
      <c r="X105" s="143">
        <f>(W105/12*2*$E105*$G105*((1-$L105)+$L105*$M105*$X$11*$H105))+(W105/12*10*$F105*$G105*((1-$L105)+$L105*$M105*$X$12*$H105))</f>
        <v>0</v>
      </c>
      <c r="Y105" s="123"/>
      <c r="Z105" s="143">
        <f>(Y105/12*2*$E105*$G105*((1-$L105)+$L105*$M105*$Z$11*$H105))+(Y105/12*10*$F105*$G105*((1-$L105)+$L105*$M105*$Z$12*$H105))</f>
        <v>0</v>
      </c>
      <c r="AA105" s="123"/>
      <c r="AB105" s="143">
        <f>(AA105/12*2*$E105*$G105*((1-$L105)+$L105*$M105*$AB$11*$H105))+(AA105/12*10*$F105*$G105*((1-$L105)+$L105*$M105*$AB$11*$H105))</f>
        <v>0</v>
      </c>
      <c r="AC105" s="123"/>
      <c r="AD105" s="123"/>
      <c r="AE105" s="123"/>
      <c r="AF105" s="158">
        <f>(AE105/12*2*$E105*$G105*((1-$L105)+$L105*$M105*AF$11*$H105))+(AE105/12*10*$F105*$G105*((1-$L105)+$L105*$M105*AF$11*$H105))</f>
        <v>0</v>
      </c>
      <c r="AG105" s="123">
        <v>14</v>
      </c>
      <c r="AH105" s="143">
        <f>(AG105/12*2*$E105*$G105*((1-$L105)+$L105*$H105*AH$11*$M105))+(AG105/12*10*$F105*$G105*((1-$L105)+$L105*$H105*AH$11*$M105))</f>
        <v>5817192.9096471127</v>
      </c>
      <c r="AI105" s="130"/>
      <c r="AJ105" s="143">
        <f t="shared" si="136"/>
        <v>0</v>
      </c>
      <c r="AK105" s="123"/>
      <c r="AL105" s="143">
        <f t="shared" si="137"/>
        <v>0</v>
      </c>
      <c r="AM105" s="132"/>
      <c r="AN105" s="143">
        <f>(AM105/12*2*$E105*$G105*((1-$L105)+$L105*$N105*$AN$11*H105))+(AM105/12*10*$F105*$G105*((1-$L105)+$L105*$N105*$AN$12*H105))</f>
        <v>0</v>
      </c>
      <c r="AO105" s="130"/>
      <c r="AP105" s="143">
        <f>(AO105/12*2*$E105*$G105*((1-$L105)+$L105*$H105*AP$11*$N105))+(AO105/12*10*$F105*$G105*((1-$L105)+$L105*$H105*AP$11*$N105))</f>
        <v>0</v>
      </c>
      <c r="AQ105" s="143">
        <v>0</v>
      </c>
      <c r="AR105" s="143">
        <v>0</v>
      </c>
      <c r="AS105" s="123"/>
      <c r="AT105" s="123"/>
      <c r="AU105" s="123"/>
      <c r="AV105" s="123"/>
      <c r="AW105" s="123"/>
      <c r="AX105" s="143">
        <f>(AW105/12*2*$E105*$G105*((1-$L105)+$L105*$H105*AX$11*$M105))+(AW105/12*10*$F105*$G105*((1-$L105)+$L105*$H105*AX$12*$M105))</f>
        <v>0</v>
      </c>
      <c r="AY105" s="131">
        <v>2</v>
      </c>
      <c r="AZ105" s="143">
        <f>(AY105/12*2*$E105*$G105*((1-$L105)+$L105*$N105*$H105*$AZ$11))+(AY105/12*10*$F105*$G105*((1-$L105)+$L105*$N105*$H105*$AZ$11))</f>
        <v>965727.16177781939</v>
      </c>
      <c r="BA105" s="123"/>
      <c r="BB105" s="143">
        <f>(BA105/12*2*$E105*$G105*((1-$L105)+$L105*$H105*BB$11*$N105))+(BA105/12*10*$F105*$G105*((1-$L105)+$L105*$H105*BB$12*$N105))</f>
        <v>0</v>
      </c>
      <c r="BC105" s="123"/>
      <c r="BD105" s="146">
        <f t="shared" si="132"/>
        <v>0</v>
      </c>
      <c r="BE105" s="123"/>
      <c r="BF105" s="143">
        <f>(BE105/12*2*$E105*$G105*((1-$L105)+$L105*$H105*BF$11*$N105))+(BE105/12*10*$F105*$G105*((1-$L105)+$L105*$H105*BF$12*$N105))</f>
        <v>0</v>
      </c>
      <c r="BG105" s="123"/>
      <c r="BH105" s="143">
        <f>(BG105/12*2*$E105*$G105*((1-$L105)+$L105*$H105*BH$11*$N105))+(BG105/12*10*$F105*$G105*((1-$L105)+$L105*$H105*BH$11*$N105))</f>
        <v>0</v>
      </c>
      <c r="BI105" s="123"/>
      <c r="BJ105" s="143">
        <f>(BI105/12*2*$E105*$G105*((1-$L105)+$L105*$H105*BJ$11*$N105))+(BI105/12*10*$F105*$G105*((1-$L105)+$L105*$H105*BJ$11*$N105))</f>
        <v>0</v>
      </c>
      <c r="BK105" s="123"/>
      <c r="BL105" s="143">
        <f>(BK105/12*2*$E105*$G105*((1-$L105)+$L105*$H105*BL$11*$N105))+(BK105/12*10*$F105*$G105*((1-$L105)+$L105*$H105*BL$11*$N105))</f>
        <v>0</v>
      </c>
      <c r="BM105" s="123"/>
      <c r="BN105" s="143">
        <f>(BM105/12*2*$E105*$G105*((1-$L105)+$L105*$H105*BN$11*$M105))+(BM105/12*10*$F105*$G105*((1-$L105)+$L105*$H105*BN$11*$M105))</f>
        <v>0</v>
      </c>
      <c r="BO105" s="123"/>
      <c r="BP105" s="143">
        <f>(BO105/12*2*$E105*$G105*((1-$L105)+$L105*$H105*BP$11*$M105))+(BO105/12*10*$F105*$G105*((1-$L105)+$L105*$H105*BP$12*$M105))</f>
        <v>0</v>
      </c>
      <c r="BQ105" s="123"/>
      <c r="BR105" s="123"/>
      <c r="BS105" s="123">
        <v>0</v>
      </c>
      <c r="BT105" s="143">
        <f>(BS105/12*2*$E105*$G105*((1-$L105)+$L105*$H105*BT$11*$N105))+(BS105/12*10*$F105*$G105*((1-$L105)+$L105*$H105*BT$11*$N105))</f>
        <v>0</v>
      </c>
      <c r="BU105" s="123"/>
      <c r="BV105" s="123"/>
      <c r="BW105" s="123"/>
      <c r="BX105" s="143">
        <f>(BW105/12*2*$E105*$G105*((1-$L105)+$L105*$H105*BX$11*$M105))+(BW105/12*10*$F105*$G105*((1-$L105)+$L105*$H105*BX$11*$M105))</f>
        <v>0</v>
      </c>
      <c r="BY105" s="123"/>
      <c r="BZ105" s="143">
        <f>(BY105/12*2*$E105*$G105*((1-$L105)+$L105*$H105*BZ$11*$M105))+(BY105/12*10*$F105*$G105*((1-$L105)+$L105*$H105*BZ$11*$M105))</f>
        <v>0</v>
      </c>
      <c r="CA105" s="123"/>
      <c r="CB105" s="143">
        <f>(CA105/12*2*$E105*$G105*((1-$L105)+$L105*$H105*CB$11*$M105))+(CA105/12*10*$F105*$G105*((1-$L105)+$L105*$H105*CB$11*$M105))</f>
        <v>0</v>
      </c>
      <c r="CC105" s="123"/>
      <c r="CD105" s="146">
        <f>(CC105/12*2*$E105*$G105*((1-$L105)+$L105*$M105*$CD$11*$H105))+(CC105/12*10*$F105*$G105*((1-$L105)+$L105*$M105*$CD$11*$H105))</f>
        <v>0</v>
      </c>
      <c r="CE105" s="123"/>
      <c r="CF105" s="143">
        <f>(CE105/12*10*$F105*$G105*((1-$L105)+$L105*$H105*CF$11*$N105))</f>
        <v>0</v>
      </c>
      <c r="CG105" s="132"/>
      <c r="CH105" s="143">
        <f>(CG105/12*2*$E105*$G105*((1-$L105)+$L105*$H105*CH$11*$N105))+(CG105/12*10*$F105*$G105*((1-$L105)+$L105*$H105*CH$11*$N105))</f>
        <v>0</v>
      </c>
      <c r="CI105" s="123"/>
      <c r="CJ105" s="127"/>
      <c r="CK105" s="123"/>
      <c r="CL105" s="123"/>
      <c r="CM105" s="130"/>
      <c r="CN105" s="143">
        <f>((CM105/12*2*$E105*$G105*((1-$L105)+$L105*$H105*CN$11*$N105)))+((CM105/12*10*$F105*$G105*((1-$L105)+$L105*$H105*CN$11*$N105)))</f>
        <v>0</v>
      </c>
      <c r="CO105" s="123"/>
      <c r="CP105" s="143">
        <f>(CO105/12*2*$E105*$G105*((1-$L105)+$L105*$H105*CP$11*$N105))+(CO105/12*10*$F105*$G105*((1-$L105)+$L105*$H105*CP$11*$N105))</f>
        <v>0</v>
      </c>
      <c r="CQ105" s="123"/>
      <c r="CR105" s="143">
        <f>(CQ105/12*2*$E105*$G105*((1-$L105)+$L105*$H105*CR$11*$O105))+(CQ105/12*10*$F105*$G105*((1-$L105)+$L105*$H105*CR$11*$O105))</f>
        <v>0</v>
      </c>
      <c r="CS105" s="123"/>
      <c r="CT105" s="143">
        <f>(CS105/12*2*$E105*$G105*((1-$L105)+$L105*$H105*CT$11*$P105))+(CS105/12*10*$F105*$G105*((1-$L105)+$L105*$H105*CT$11*$P105))</f>
        <v>0</v>
      </c>
      <c r="CU105" s="134"/>
      <c r="CV105" s="134"/>
      <c r="CW105" s="198">
        <f t="shared" si="138"/>
        <v>16</v>
      </c>
      <c r="CX105" s="199">
        <f t="shared" si="138"/>
        <v>6782920.0714249322</v>
      </c>
    </row>
    <row r="106" spans="1:102" ht="32.25" customHeight="1" x14ac:dyDescent="0.25">
      <c r="A106" s="91"/>
      <c r="B106" s="116">
        <v>81</v>
      </c>
      <c r="C106" s="117" t="s">
        <v>300</v>
      </c>
      <c r="D106" s="161" t="s">
        <v>301</v>
      </c>
      <c r="E106" s="95">
        <v>28004</v>
      </c>
      <c r="F106" s="96">
        <v>29405</v>
      </c>
      <c r="G106" s="108">
        <v>2.0699999999999998</v>
      </c>
      <c r="H106" s="110">
        <v>0.9</v>
      </c>
      <c r="I106" s="153"/>
      <c r="J106" s="153"/>
      <c r="K106" s="153"/>
      <c r="L106" s="63"/>
      <c r="M106" s="120">
        <v>1.4</v>
      </c>
      <c r="N106" s="120">
        <v>1.68</v>
      </c>
      <c r="O106" s="120">
        <v>2.23</v>
      </c>
      <c r="P106" s="121">
        <v>2.57</v>
      </c>
      <c r="Q106" s="122"/>
      <c r="R106" s="123">
        <f>(Q106/12*2*$E106*$G106*$H106*$M106*$R$11)+(Q106/12*10*$F106*$G106*$H106*$M106*$R$11)</f>
        <v>0</v>
      </c>
      <c r="S106" s="124"/>
      <c r="T106" s="125">
        <f>(S106/12*2*$E106*$G106*$H106*$M106*$R$11)+(S106/12*10*$F106*$G106*$H106*$M106*$R$11)</f>
        <v>0</v>
      </c>
      <c r="U106" s="123"/>
      <c r="V106" s="123">
        <f>(U106/12*2*$E106*$G106*$H106*$M106*$V$11)+(U106/12*10*$F106*$G106*$H106*$M106*$V$12)</f>
        <v>0</v>
      </c>
      <c r="W106" s="123"/>
      <c r="X106" s="126">
        <f>(W106/12*2*$E106*$G106*$H106*$M106*$X$11)+(W106/12*10*$F106*$G106*$H106*$M106*$X$12)</f>
        <v>0</v>
      </c>
      <c r="Y106" s="123"/>
      <c r="Z106" s="123">
        <f>(Y106/12*2*$E106*$G106*$H106*$M106*$Z$11)+(Y106/12*10*$F106*$G106*$H106*$M106*$Z$12)</f>
        <v>0</v>
      </c>
      <c r="AA106" s="123"/>
      <c r="AB106" s="123">
        <f>(AA106/12*2*$E106*$G106*$H106*$M106*$AB$11)+(AA106/12*10*$F106*$G106*$H106*$M106*$AB$11)</f>
        <v>0</v>
      </c>
      <c r="AC106" s="123"/>
      <c r="AD106" s="123"/>
      <c r="AE106" s="123"/>
      <c r="AF106" s="123">
        <f>(AE106/12*2*$E106*$G106*$H106*$M106*$AF$11)+(AE106/12*10*$F106*$G106*$H106*$M106*$AF$11)</f>
        <v>0</v>
      </c>
      <c r="AG106" s="135">
        <v>0</v>
      </c>
      <c r="AH106" s="136">
        <f>(AG106/12*2*$E106*$G106*$H106*$M106*$AH$11)+(AG106/12*10*$F106*$G106*$H106*$M106*$AH$11)</f>
        <v>0</v>
      </c>
      <c r="AI106" s="123"/>
      <c r="AJ106" s="123">
        <f>(AI106/12*2*$E106*$G106*$H106*$M106*$AJ$11)+(AI106/12*5*$F106*$G106*$H106*$M106*$AJ$12)+(AI106/12*5*$F106*$G106*$H106*$M106*$AJ$13)</f>
        <v>0</v>
      </c>
      <c r="AK106" s="123"/>
      <c r="AL106" s="123">
        <f>(AK106/12*2*$E106*$G106*$H106*$N106*$AL$11)+(AK106/12*5*$F106*$G106*$H106*$N106*$AL$12)++(AK106/12*5*$F106*$G106*$H106*$N106*$AL$13)</f>
        <v>0</v>
      </c>
      <c r="AM106" s="132"/>
      <c r="AN106" s="123">
        <f>(AM106/12*2*$E106*$G106*$H106*$N106*$AN$11)+(AM106/12*10*$F106*$G106*$H106*$N106*$AN$12)</f>
        <v>0</v>
      </c>
      <c r="AO106" s="130"/>
      <c r="AP106" s="127">
        <f>(AO106/12*2*$E106*$G106*$H106*$N106*$AP$11)+(AO106/12*10*$F106*$G106*$H106*$N106*$AP$11)</f>
        <v>0</v>
      </c>
      <c r="AQ106" s="127">
        <v>0</v>
      </c>
      <c r="AR106" s="127">
        <v>0</v>
      </c>
      <c r="AS106" s="123"/>
      <c r="AT106" s="123">
        <f>(AS106/12*2*$E106*$G106*$H106*$M106*$AT$11)+(AS106/12*10*$F106*$G106*$H106*$M106*$AT$11)</f>
        <v>0</v>
      </c>
      <c r="AU106" s="123"/>
      <c r="AV106" s="126">
        <f>(AU106/12*2*$E106*$G106*$H106*$M106*$AV$11)+(AU106/12*10*$F106*$G106*$H106*$M106*$AV$12)</f>
        <v>0</v>
      </c>
      <c r="AW106" s="123"/>
      <c r="AX106" s="123">
        <f>(AW106/12*2*$E106*$G106*$H106*$M106*$AX$11)+(AW106/12*10*$F106*$G106*$H106*$M106*$AX$12)</f>
        <v>0</v>
      </c>
      <c r="AY106" s="131">
        <v>0</v>
      </c>
      <c r="AZ106" s="123">
        <f>(AY106/12*2*$E106*$G106*$H106*$N106*$AZ$11)+(AY106/12*10*$F106*$G106*$H106*$N106*$AZ$11)</f>
        <v>0</v>
      </c>
      <c r="BA106" s="123"/>
      <c r="BB106" s="123">
        <f>(BA106/12*2*$E106*$G106*$H106*$N106*$BB$11)+(BA106/12*10*$F106*$G106*$H106*$N106*$BB$12)</f>
        <v>0</v>
      </c>
      <c r="BC106" s="123"/>
      <c r="BD106" s="126">
        <f>(BC106/12*2*$E106*$G106*$H106*$N106*$BD$11)+(BC106/12*10*$F106*$G106*$H106*$N106*$BD$12)</f>
        <v>0</v>
      </c>
      <c r="BE106" s="123"/>
      <c r="BF106" s="123">
        <f>(BE106/12*10*$F106*$G106*$H106*$N106*$BF$12)</f>
        <v>0</v>
      </c>
      <c r="BG106" s="123"/>
      <c r="BH106" s="123">
        <f>(BG106/12*2*$E106*$G106*$H106*$N106*$BH$11)+(BG106/12*10*$F106*$G106*$H106*$N106*$BH$11)</f>
        <v>0</v>
      </c>
      <c r="BI106" s="123"/>
      <c r="BJ106" s="126">
        <f>(BI106/12*2*$E106*$G106*$H106*$N106*$BJ$11)+(BI106/12*10*$F106*$G106*$H106*$N106*$BJ$11)</f>
        <v>0</v>
      </c>
      <c r="BK106" s="123"/>
      <c r="BL106" s="127">
        <f>(BK106/12*2*$E106*$G106*$H106*$N106*$BL$11)+(BK106/12*10*$F106*$G106*$H106*$N106*$BL$11)</f>
        <v>0</v>
      </c>
      <c r="BM106" s="123"/>
      <c r="BN106" s="123">
        <f>(BM106/12*2*$E106*$G106*$H106*$M106*$BN$11)+(BM106/12*10*$F106*$G106*$H106*$M106*$BN$11)</f>
        <v>0</v>
      </c>
      <c r="BO106" s="123"/>
      <c r="BP106" s="123">
        <f>(BO106/12*2*$E106*$G106*$H106*$M106*$BP$11)+(BO106/12*10*$F106*$G106*$H106*$M106*$BP$12)</f>
        <v>0</v>
      </c>
      <c r="BQ106" s="123"/>
      <c r="BR106" s="123">
        <f>(BQ106/12*2*$E106*$G106*$H106*$M106*$BR$11)+(BQ106/12*10*$F106*$G106*$H106*$M106*$BR$11)</f>
        <v>0</v>
      </c>
      <c r="BS106" s="123"/>
      <c r="BT106" s="123">
        <f>(BS106/12*2*$E106*$G106*$H106*$N106*$BT$11)+(BS106/12*10*$F106*$G106*$H106*$N106*$BT$11)</f>
        <v>0</v>
      </c>
      <c r="BU106" s="123"/>
      <c r="BV106" s="126">
        <f>(BU106/12*2*$E106*$G106*$H106*$M106*$BV$11)+(BU106/12*10*$F106*$G106*$H106*$M106*$BV$11)</f>
        <v>0</v>
      </c>
      <c r="BW106" s="123"/>
      <c r="BX106" s="123">
        <f>(BW106/12*2*$E106*$G106*$H106*$M106*$BX$11)+(BW106/12*10*$F106*$G106*$H106*$M106*$BX$11)</f>
        <v>0</v>
      </c>
      <c r="BY106" s="123"/>
      <c r="BZ106" s="123">
        <f>(BY106/12*2*$E106*$G106*$H106*$M106*$BZ$11)+(BY106/12*10*$F106*$G106*$H106*$M106*$BZ$11)</f>
        <v>0</v>
      </c>
      <c r="CA106" s="123"/>
      <c r="CB106" s="123">
        <f>(CA106/12*2*$E106*$G106*$H106*$M106*$CB$11)+(CA106/12*10*$F106*$G106*$H106*$M106*$CB$11)</f>
        <v>0</v>
      </c>
      <c r="CC106" s="123"/>
      <c r="CD106" s="123">
        <f>(CC106/12*2*$E106*$G106*$H106*$M106*$CD$11)+(CC106/12*10*$F106*$G106*$H106*$M106*$CD$11)</f>
        <v>0</v>
      </c>
      <c r="CE106" s="123"/>
      <c r="CF106" s="123">
        <f>(CE106/12*10*$F106*$G106*$H106*$N106*$CF$11)</f>
        <v>0</v>
      </c>
      <c r="CG106" s="132"/>
      <c r="CH106" s="123">
        <f>(CG106/12*2*$E106*$G106*$H106*$N106*$CH$11)+(CG106/12*10*$F106*$G106*$H106*$N106*$CH$11)</f>
        <v>0</v>
      </c>
      <c r="CI106" s="123"/>
      <c r="CJ106" s="127"/>
      <c r="CK106" s="123"/>
      <c r="CL106" s="123">
        <f>(CK106/12*2*$E106*$G106*$H106*$N106*$CL$11)+(CK106/12*10*$F106*$G106*$H106*$N106*$CL$12)</f>
        <v>0</v>
      </c>
      <c r="CM106" s="130"/>
      <c r="CN106" s="123">
        <f>(CM106/12*2*$E106*$G106*$H106*$N106*$CN$11)+(CM106/12*10*$F106*$G106*$H106*$N106*$CN$11)</f>
        <v>0</v>
      </c>
      <c r="CO106" s="123"/>
      <c r="CP106" s="123">
        <f>(CO106/12*2*$E106*$G106*$H106*$N106*$CP$11)+(CO106/12*10*$F106*$G106*$H106*$N106*$CP$11)</f>
        <v>0</v>
      </c>
      <c r="CQ106" s="123"/>
      <c r="CR106" s="123">
        <f>(CQ106/12*2*$E106*$G106*$H106*$O106*$CR$11)+(CQ106/12*10*$F106*$G106*$H106*$O106*$CR$11)</f>
        <v>0</v>
      </c>
      <c r="CS106" s="123"/>
      <c r="CT106" s="133">
        <f>(CS106/12*2*$E106*$G106*$H106*$P106*$CT$11)+(CS106/12*10*$F106*$G106*$H106*$P106*$CT$11)</f>
        <v>0</v>
      </c>
      <c r="CU106" s="127"/>
      <c r="CV106" s="127"/>
      <c r="CW106" s="198">
        <f t="shared" si="138"/>
        <v>0</v>
      </c>
      <c r="CX106" s="126">
        <f t="shared" si="138"/>
        <v>0</v>
      </c>
    </row>
    <row r="107" spans="1:102" ht="15.75" customHeight="1" x14ac:dyDescent="0.25">
      <c r="A107" s="109">
        <v>13</v>
      </c>
      <c r="B107" s="150"/>
      <c r="C107" s="93" t="s">
        <v>302</v>
      </c>
      <c r="D107" s="164" t="s">
        <v>303</v>
      </c>
      <c r="E107" s="95">
        <v>28004</v>
      </c>
      <c r="F107" s="96">
        <v>29405</v>
      </c>
      <c r="G107" s="151">
        <v>1.49</v>
      </c>
      <c r="H107" s="166"/>
      <c r="I107" s="108"/>
      <c r="J107" s="108"/>
      <c r="K107" s="108"/>
      <c r="L107" s="111"/>
      <c r="M107" s="112">
        <v>1.4</v>
      </c>
      <c r="N107" s="112">
        <v>1.68</v>
      </c>
      <c r="O107" s="112">
        <v>2.23</v>
      </c>
      <c r="P107" s="113">
        <v>2.57</v>
      </c>
      <c r="Q107" s="103">
        <f>SUM(Q108:Q116)</f>
        <v>544</v>
      </c>
      <c r="R107" s="104">
        <f>SUM(R108:R116)</f>
        <v>38101458.058253333</v>
      </c>
      <c r="S107" s="114">
        <f t="shared" ref="S107:CD107" si="139">SUM(S108:S116)</f>
        <v>1419</v>
      </c>
      <c r="T107" s="115">
        <f t="shared" si="139"/>
        <v>110875543.51514664</v>
      </c>
      <c r="U107" s="104">
        <f t="shared" si="139"/>
        <v>69</v>
      </c>
      <c r="V107" s="104">
        <f t="shared" si="139"/>
        <v>3859490.9339000005</v>
      </c>
      <c r="W107" s="104">
        <f t="shared" si="139"/>
        <v>0</v>
      </c>
      <c r="X107" s="104">
        <f t="shared" si="139"/>
        <v>0</v>
      </c>
      <c r="Y107" s="104">
        <f t="shared" si="139"/>
        <v>0</v>
      </c>
      <c r="Z107" s="104">
        <f t="shared" si="139"/>
        <v>0</v>
      </c>
      <c r="AA107" s="104">
        <f t="shared" si="139"/>
        <v>0</v>
      </c>
      <c r="AB107" s="104">
        <f t="shared" si="139"/>
        <v>0</v>
      </c>
      <c r="AC107" s="104">
        <f t="shared" si="139"/>
        <v>0</v>
      </c>
      <c r="AD107" s="104">
        <f t="shared" si="139"/>
        <v>0</v>
      </c>
      <c r="AE107" s="104">
        <f t="shared" si="139"/>
        <v>519</v>
      </c>
      <c r="AF107" s="105">
        <f t="shared" si="139"/>
        <v>31637326.720486667</v>
      </c>
      <c r="AG107" s="104">
        <f t="shared" si="139"/>
        <v>46</v>
      </c>
      <c r="AH107" s="104">
        <f t="shared" si="139"/>
        <v>2204803.0722666671</v>
      </c>
      <c r="AI107" s="106">
        <f t="shared" si="139"/>
        <v>1208</v>
      </c>
      <c r="AJ107" s="104">
        <f t="shared" si="139"/>
        <v>62350615.557346664</v>
      </c>
      <c r="AK107" s="104">
        <f t="shared" si="139"/>
        <v>770</v>
      </c>
      <c r="AL107" s="104">
        <f t="shared" si="139"/>
        <v>90286962.713220015</v>
      </c>
      <c r="AM107" s="104">
        <f t="shared" si="139"/>
        <v>0</v>
      </c>
      <c r="AN107" s="104">
        <f t="shared" si="139"/>
        <v>0</v>
      </c>
      <c r="AO107" s="106">
        <f t="shared" si="139"/>
        <v>20</v>
      </c>
      <c r="AP107" s="104">
        <f t="shared" si="139"/>
        <v>1312816.0448479999</v>
      </c>
      <c r="AQ107" s="104">
        <v>35</v>
      </c>
      <c r="AR107" s="104">
        <v>1909966.5200000003</v>
      </c>
      <c r="AS107" s="104">
        <f t="shared" si="139"/>
        <v>0</v>
      </c>
      <c r="AT107" s="104">
        <f t="shared" si="139"/>
        <v>0</v>
      </c>
      <c r="AU107" s="104">
        <f t="shared" si="139"/>
        <v>0</v>
      </c>
      <c r="AV107" s="104">
        <f t="shared" si="139"/>
        <v>0</v>
      </c>
      <c r="AW107" s="104">
        <f t="shared" si="139"/>
        <v>144</v>
      </c>
      <c r="AX107" s="104">
        <f t="shared" si="139"/>
        <v>7068459.9620599998</v>
      </c>
      <c r="AY107" s="104">
        <f t="shared" si="139"/>
        <v>1172</v>
      </c>
      <c r="AZ107" s="104">
        <f t="shared" si="139"/>
        <v>93076049.220000014</v>
      </c>
      <c r="BA107" s="104">
        <f t="shared" si="139"/>
        <v>0</v>
      </c>
      <c r="BB107" s="104">
        <f t="shared" si="139"/>
        <v>0</v>
      </c>
      <c r="BC107" s="104">
        <f t="shared" si="139"/>
        <v>0</v>
      </c>
      <c r="BD107" s="104">
        <f t="shared" si="139"/>
        <v>0</v>
      </c>
      <c r="BE107" s="104">
        <f t="shared" si="139"/>
        <v>162</v>
      </c>
      <c r="BF107" s="104">
        <f t="shared" si="139"/>
        <v>9863201.5300000012</v>
      </c>
      <c r="BG107" s="104">
        <f t="shared" si="139"/>
        <v>52</v>
      </c>
      <c r="BH107" s="104">
        <f t="shared" si="139"/>
        <v>2366014.4040959999</v>
      </c>
      <c r="BI107" s="104">
        <f t="shared" si="139"/>
        <v>187</v>
      </c>
      <c r="BJ107" s="104">
        <f t="shared" si="139"/>
        <v>14172507.586944001</v>
      </c>
      <c r="BK107" s="104">
        <f t="shared" si="139"/>
        <v>198</v>
      </c>
      <c r="BL107" s="104">
        <f t="shared" si="139"/>
        <v>15155269.523519997</v>
      </c>
      <c r="BM107" s="104">
        <f t="shared" si="139"/>
        <v>0</v>
      </c>
      <c r="BN107" s="104">
        <f t="shared" si="139"/>
        <v>0</v>
      </c>
      <c r="BO107" s="104">
        <f t="shared" si="139"/>
        <v>0</v>
      </c>
      <c r="BP107" s="104">
        <f t="shared" si="139"/>
        <v>0</v>
      </c>
      <c r="BQ107" s="104">
        <f t="shared" si="139"/>
        <v>0</v>
      </c>
      <c r="BR107" s="104">
        <f t="shared" si="139"/>
        <v>0</v>
      </c>
      <c r="BS107" s="104">
        <f t="shared" si="139"/>
        <v>105</v>
      </c>
      <c r="BT107" s="104">
        <f t="shared" si="139"/>
        <v>9210586.0727999993</v>
      </c>
      <c r="BU107" s="104">
        <f t="shared" si="139"/>
        <v>0</v>
      </c>
      <c r="BV107" s="104">
        <f t="shared" si="139"/>
        <v>0</v>
      </c>
      <c r="BW107" s="104">
        <f t="shared" si="139"/>
        <v>0</v>
      </c>
      <c r="BX107" s="104">
        <f t="shared" si="139"/>
        <v>0</v>
      </c>
      <c r="BY107" s="104">
        <f t="shared" si="139"/>
        <v>0</v>
      </c>
      <c r="BZ107" s="104">
        <f t="shared" si="139"/>
        <v>0</v>
      </c>
      <c r="CA107" s="104">
        <f t="shared" si="139"/>
        <v>484</v>
      </c>
      <c r="CB107" s="104">
        <f t="shared" si="139"/>
        <v>26582655.865359996</v>
      </c>
      <c r="CC107" s="104">
        <f t="shared" si="139"/>
        <v>5</v>
      </c>
      <c r="CD107" s="104">
        <f t="shared" si="139"/>
        <v>289964.70999999996</v>
      </c>
      <c r="CE107" s="104">
        <f t="shared" ref="CE107:CX107" si="140">SUM(CE108:CE116)</f>
        <v>0</v>
      </c>
      <c r="CF107" s="104">
        <f t="shared" si="140"/>
        <v>0</v>
      </c>
      <c r="CG107" s="104">
        <f t="shared" si="140"/>
        <v>0</v>
      </c>
      <c r="CH107" s="104">
        <f t="shared" si="140"/>
        <v>0</v>
      </c>
      <c r="CI107" s="104">
        <f t="shared" si="140"/>
        <v>0</v>
      </c>
      <c r="CJ107" s="104">
        <f t="shared" si="140"/>
        <v>0</v>
      </c>
      <c r="CK107" s="104">
        <f t="shared" si="140"/>
        <v>18</v>
      </c>
      <c r="CL107" s="104">
        <f t="shared" si="140"/>
        <v>1075738.4397199999</v>
      </c>
      <c r="CM107" s="104">
        <f t="shared" si="140"/>
        <v>0</v>
      </c>
      <c r="CN107" s="104">
        <f t="shared" si="140"/>
        <v>0</v>
      </c>
      <c r="CO107" s="104">
        <f t="shared" si="140"/>
        <v>56</v>
      </c>
      <c r="CP107" s="104">
        <f t="shared" si="140"/>
        <v>460108.22</v>
      </c>
      <c r="CQ107" s="104">
        <f t="shared" si="140"/>
        <v>2</v>
      </c>
      <c r="CR107" s="104">
        <f t="shared" si="140"/>
        <v>184748.94380000001</v>
      </c>
      <c r="CS107" s="104">
        <f t="shared" si="140"/>
        <v>0</v>
      </c>
      <c r="CT107" s="104">
        <f t="shared" si="140"/>
        <v>0</v>
      </c>
      <c r="CU107" s="104">
        <f t="shared" si="140"/>
        <v>0</v>
      </c>
      <c r="CV107" s="104">
        <f t="shared" si="140"/>
        <v>0</v>
      </c>
      <c r="CW107" s="104">
        <f t="shared" si="140"/>
        <v>7215</v>
      </c>
      <c r="CX107" s="104">
        <f t="shared" si="140"/>
        <v>522044287.61376792</v>
      </c>
    </row>
    <row r="108" spans="1:102" ht="30" customHeight="1" x14ac:dyDescent="0.25">
      <c r="A108" s="91"/>
      <c r="B108" s="116">
        <v>82</v>
      </c>
      <c r="C108" s="117" t="s">
        <v>304</v>
      </c>
      <c r="D108" s="161" t="s">
        <v>305</v>
      </c>
      <c r="E108" s="95">
        <v>28004</v>
      </c>
      <c r="F108" s="96">
        <v>29405</v>
      </c>
      <c r="G108" s="119">
        <v>1.42</v>
      </c>
      <c r="H108" s="107">
        <v>1</v>
      </c>
      <c r="I108" s="108"/>
      <c r="J108" s="108"/>
      <c r="K108" s="108"/>
      <c r="L108" s="63"/>
      <c r="M108" s="120">
        <v>1.4</v>
      </c>
      <c r="N108" s="120">
        <v>1.68</v>
      </c>
      <c r="O108" s="120">
        <v>2.23</v>
      </c>
      <c r="P108" s="121">
        <v>2.57</v>
      </c>
      <c r="Q108" s="122">
        <v>80</v>
      </c>
      <c r="R108" s="123">
        <f>(Q108/12*2*$E108*$G108*$H108*$M108*$R$11)+(Q108/12*10*$F108*$G108*$H108*$M108*$R$11)</f>
        <v>5103378.8959999997</v>
      </c>
      <c r="S108" s="124">
        <v>161</v>
      </c>
      <c r="T108" s="125">
        <f>(S108/12*2*$E108*$G108*$H108*$M108*$R$11)+(S108/12*10*$F108*$G108*$H108*$M108*$R$11)</f>
        <v>10270550.028200001</v>
      </c>
      <c r="U108" s="123"/>
      <c r="V108" s="123">
        <f>(U108/12*2*$E108*$G108*$H108*$M108*$V$11)+(U108/12*10*$F108*$G108*$H108*$M108*$V$12)</f>
        <v>0</v>
      </c>
      <c r="W108" s="123"/>
      <c r="X108" s="126">
        <f>(W108/12*2*$E108*$G108*$H108*$M108*$X$11)+(W108/12*10*$F108*$G108*$H108*$M108*$X$12)</f>
        <v>0</v>
      </c>
      <c r="Y108" s="123"/>
      <c r="Z108" s="123">
        <f>(Y108/12*2*$E108*$G108*$H108*$M108*$Z$11)+(Y108/12*10*$F108*$G108*$H108*$M108*$Z$12)</f>
        <v>0</v>
      </c>
      <c r="AA108" s="123"/>
      <c r="AB108" s="123">
        <f>(AA108/12*2*$E108*$G108*$H108*$M108*$AB$11)+(AA108/12*10*$F108*$G108*$H108*$M108*$AB$11)</f>
        <v>0</v>
      </c>
      <c r="AC108" s="123"/>
      <c r="AD108" s="123"/>
      <c r="AE108" s="123">
        <v>33</v>
      </c>
      <c r="AF108" s="123">
        <f>(AE108/12*2*$E108*$G108*$H108*$M108*$AF$11)+(AE108/12*10*$F108*$G108*$H108*$M108*$AF$11)</f>
        <v>2105143.7946000001</v>
      </c>
      <c r="AG108" s="135">
        <v>0</v>
      </c>
      <c r="AH108" s="136">
        <f>(AG108/12*2*$E108*$G108*$H108*$M108*$AH$11)+(AG108/12*10*$F108*$G108*$H108*$M108*$AH$11)</f>
        <v>0</v>
      </c>
      <c r="AI108" s="123">
        <v>36</v>
      </c>
      <c r="AJ108" s="123">
        <f t="shared" ref="AJ108:AJ109" si="141">(AI108/12*2*$E108*$G108*$H108*$M108*$AJ$11)+(AI108/12*5*$F108*$G108*$H108*$M108*$AJ$12)+(AI108/12*5*$F108*$G108*$H108*$M108*$AJ$13)</f>
        <v>2696532.5436</v>
      </c>
      <c r="AK108" s="123">
        <f>99-4</f>
        <v>95</v>
      </c>
      <c r="AL108" s="123">
        <f t="shared" ref="AL108:AL109" si="142">(AK108/12*2*$E108*$G108*$H108*$N108*$AL$11)+(AK108/12*5*$F108*$G108*$H108*$N108*$AL$12)++(AK108/12*5*$F108*$G108*$H108*$N108*$AL$13)</f>
        <v>8539019.7214000002</v>
      </c>
      <c r="AM108" s="132"/>
      <c r="AN108" s="123">
        <f>(AM108/12*2*$E108*$G108*$H108*$N108*$AN$11)+(AM108/12*10*$F108*$G108*$H108*$N108*$AN$12)</f>
        <v>0</v>
      </c>
      <c r="AO108" s="130">
        <v>5</v>
      </c>
      <c r="AP108" s="127">
        <f>(AO108/12*2*$E108*$G108*$H108*$N108*$AP$11)+(AO108/12*10*$F108*$G108*$H108*$N108*$AP$11)</f>
        <v>382753.41720000003</v>
      </c>
      <c r="AQ108" s="127">
        <v>8</v>
      </c>
      <c r="AR108" s="127">
        <v>459304.08</v>
      </c>
      <c r="AS108" s="123"/>
      <c r="AT108" s="123">
        <f>(AS108/12*2*$E108*$G108*$H108*$M108*$AT$11)+(AS108/12*10*$F108*$G108*$H108*$M108*$AT$11)</f>
        <v>0</v>
      </c>
      <c r="AU108" s="123"/>
      <c r="AV108" s="126">
        <f>(AU108/12*2*$E108*$G108*$H108*$M108*$AV$11)+(AU108/12*10*$F108*$G108*$H108*$M108*$AV$12)</f>
        <v>0</v>
      </c>
      <c r="AW108" s="123">
        <v>15</v>
      </c>
      <c r="AX108" s="123">
        <f>(AW108/12*2*$E108*$G108*$H108*$M108*$AX$11)+(AW108/12*10*$F108*$G108*$H108*$M108*$AX$12)</f>
        <v>1000030.1009999998</v>
      </c>
      <c r="AY108" s="131">
        <v>140</v>
      </c>
      <c r="AZ108" s="123">
        <f>(AY108/12*2*$E108*$G108*$H108*$N108*$AZ$11)+(AY108/12*10*$F108*$G108*$H108*$N108*$AZ$11)</f>
        <v>10717095.681600001</v>
      </c>
      <c r="BA108" s="123"/>
      <c r="BB108" s="123">
        <f>(BA108/12*2*$E108*$G108*$H108*$N108*$BB$11)+(BA108/12*10*$F108*$G108*$H108*$N108*$BB$12)</f>
        <v>0</v>
      </c>
      <c r="BC108" s="123"/>
      <c r="BD108" s="126">
        <f>(BC108/12*2*$E108*$G108*$H108*$N108*$BD$11)+(BC108/12*10*$F108*$G108*$H108*$N108*$BD$12)</f>
        <v>0</v>
      </c>
      <c r="BE108" s="123">
        <v>50</v>
      </c>
      <c r="BF108" s="123">
        <f>(BE108/12*10*$F108*$G108*$H108*$N108*$BF$12)</f>
        <v>2922857</v>
      </c>
      <c r="BG108" s="123">
        <v>6</v>
      </c>
      <c r="BH108" s="123">
        <f>(BG108/12*2*$E108*$G108*$H108*$N108*$BH$11)+(BG108/12*10*$F108*$G108*$H108*$N108*$BH$11)</f>
        <v>375794.26415999996</v>
      </c>
      <c r="BI108" s="123">
        <v>72</v>
      </c>
      <c r="BJ108" s="126">
        <f>(BI108/12*2*$E108*$G108*$H108*$N108*$BJ$11)+(BI108/12*10*$F108*$G108*$H108*$N108*$BJ$11)</f>
        <v>6012708.2265599994</v>
      </c>
      <c r="BK108" s="123">
        <v>52</v>
      </c>
      <c r="BL108" s="127">
        <f>(BK108/12*2*$E108*$G108*$H108*$N108*$BL$11)+(BK108/12*10*$F108*$G108*$H108*$N108*$BL$11)</f>
        <v>4342511.4969599992</v>
      </c>
      <c r="BM108" s="123"/>
      <c r="BN108" s="123">
        <f>(BM108/12*2*$E108*$G108*$H108*$M108*$BN$11)+(BM108/12*10*$F108*$G108*$H108*$M108*$BN$11)</f>
        <v>0</v>
      </c>
      <c r="BO108" s="123"/>
      <c r="BP108" s="123">
        <f>(BO108/12*2*$E108*$G108*$H108*$M108*$BP$11)+(BO108/12*10*$F108*$G108*$H108*$M108*$BP$12)</f>
        <v>0</v>
      </c>
      <c r="BQ108" s="123"/>
      <c r="BR108" s="123">
        <f>(BQ108/12*2*$E108*$G108*$H108*$M108*$BR$11)+(BQ108/12*10*$F108*$G108*$H108*$M108*$BR$11)</f>
        <v>0</v>
      </c>
      <c r="BS108" s="123">
        <v>35</v>
      </c>
      <c r="BT108" s="123">
        <f>(BS108/12*2*$E108*$G108*$H108*$N108*$BT$11)+(BS108/12*10*$F108*$G108*$H108*$N108*$BT$11)</f>
        <v>2435703.5639999998</v>
      </c>
      <c r="BU108" s="123"/>
      <c r="BV108" s="126">
        <f>(BU108/12*2*$E108*$G108*$H108*$M108*$BV$11)+(BU108/12*10*$F108*$G108*$H108*$M108*$BV$11)</f>
        <v>0</v>
      </c>
      <c r="BW108" s="123"/>
      <c r="BX108" s="123">
        <f>(BW108/12*2*$E108*$G108*$H108*$M108*$BX$11)+(BW108/12*10*$F108*$G108*$H108*$M108*$BX$11)</f>
        <v>0</v>
      </c>
      <c r="BY108" s="123"/>
      <c r="BZ108" s="123">
        <f>(BY108/12*2*$E108*$G108*$H108*$M108*$BZ$11)+(BY108/12*10*$F108*$G108*$H108*$M108*$BZ$11)</f>
        <v>0</v>
      </c>
      <c r="CA108" s="123">
        <v>65</v>
      </c>
      <c r="CB108" s="123">
        <f>(CA108/12*2*$E108*$G108*$H108*$M108*$CB$11)+(CA108/12*10*$F108*$G108*$H108*$M108*$CB$11)</f>
        <v>4523449.4759999998</v>
      </c>
      <c r="CC108" s="123">
        <v>5</v>
      </c>
      <c r="CD108" s="123">
        <f>(CC108/12*2*$E108*$G108*$H108*$M108*$CD$11)+(CC108/12*10*$F108*$G108*$H108*$M108*$CD$11)</f>
        <v>289964.70999999996</v>
      </c>
      <c r="CE108" s="123"/>
      <c r="CF108" s="123">
        <f>(CE108/12*10*$F108*$G108*$H108*$N108*$CF$11)</f>
        <v>0</v>
      </c>
      <c r="CG108" s="132"/>
      <c r="CH108" s="123">
        <f>(CG108/12*2*$E108*$G108*$H108*$N108*$CH$11)+(CG108/12*10*$F108*$G108*$H108*$N108*$CH$11)</f>
        <v>0</v>
      </c>
      <c r="CI108" s="123"/>
      <c r="CJ108" s="127">
        <f t="shared" ref="CJ108:CJ113" si="143">(CI108*$E108*$G108*$H108*$N108*CJ$11)</f>
        <v>0</v>
      </c>
      <c r="CK108" s="123">
        <v>12</v>
      </c>
      <c r="CL108" s="123">
        <f>(CK108/12*2*$E108*$G108*$H108*$N108*$CL$11)+(CK108/12*10*$F108*$G108*$H108*$N108*$CL$12)</f>
        <v>738227.25983999996</v>
      </c>
      <c r="CM108" s="130"/>
      <c r="CN108" s="123">
        <f>(CM108/12*2*$E108*$G108*$H108*$N108*$CN$11)+(CM108/12*10*$F108*$G108*$H108*$N108*$CN$11)</f>
        <v>0</v>
      </c>
      <c r="CO108" s="123">
        <v>22</v>
      </c>
      <c r="CP108" s="123">
        <v>35074.29</v>
      </c>
      <c r="CQ108" s="123">
        <v>2</v>
      </c>
      <c r="CR108" s="123">
        <f>(CQ108/12*2*$E108*$G108*$H108*$O108*$CR$11)+(CQ108/12*10*$F108*$G108*$H108*$O108*$CR$11)</f>
        <v>184748.94380000001</v>
      </c>
      <c r="CS108" s="123"/>
      <c r="CT108" s="133">
        <f>(CS108/12*2*$E108*$G108*$H108*$P108*$CT$11)+(CS108/12*10*$F108*$G108*$H108*$P108*$CT$11)</f>
        <v>0</v>
      </c>
      <c r="CU108" s="127"/>
      <c r="CV108" s="127"/>
      <c r="CW108" s="126">
        <f t="shared" ref="CW108:CX116" si="144">SUM(Q108,S108,U108,W108,Y108,AA108,AC108,AE108,AG108,AM108,BQ108,AI108,AU108,CC108,AW108,AY108,AK108,BC108,AO108,AQ108,BE108,CE108,BG108,BI108,BK108,BS108,BM108,BO108,BU108,BW108,BY108,CA108,CG108,BA108,AS108,CI108,CK108,CM108,CO108,CQ108,CS108,CU108)</f>
        <v>894</v>
      </c>
      <c r="CX108" s="126">
        <f t="shared" si="144"/>
        <v>63134847.494919993</v>
      </c>
    </row>
    <row r="109" spans="1:102" ht="45" x14ac:dyDescent="0.25">
      <c r="A109" s="277" t="s">
        <v>306</v>
      </c>
      <c r="B109" s="116">
        <v>83</v>
      </c>
      <c r="C109" s="117" t="s">
        <v>307</v>
      </c>
      <c r="D109" s="161" t="s">
        <v>308</v>
      </c>
      <c r="E109" s="95">
        <v>28004</v>
      </c>
      <c r="F109" s="96">
        <v>29405</v>
      </c>
      <c r="G109" s="119">
        <v>2.81</v>
      </c>
      <c r="H109" s="107">
        <v>1</v>
      </c>
      <c r="I109" s="108"/>
      <c r="J109" s="108"/>
      <c r="K109" s="108"/>
      <c r="L109" s="63"/>
      <c r="M109" s="120">
        <v>1.4</v>
      </c>
      <c r="N109" s="120">
        <v>1.68</v>
      </c>
      <c r="O109" s="120">
        <v>2.23</v>
      </c>
      <c r="P109" s="121">
        <v>2.57</v>
      </c>
      <c r="Q109" s="122">
        <v>75</v>
      </c>
      <c r="R109" s="123">
        <f>(Q109/12*2*$E109*$G109*$H109*$M109*$R$11)+(Q109/12*10*$F109*$G109*$H109*$M109*$R$11)</f>
        <v>9467756.182500001</v>
      </c>
      <c r="S109" s="124">
        <v>497</v>
      </c>
      <c r="T109" s="125">
        <f>(S109/12*2*$E109*$G109*$H109*$M109*$R$11)+(S109/12*10*$F109*$G109*$H109*$M109*$R$11)</f>
        <v>62739664.302699991</v>
      </c>
      <c r="U109" s="123"/>
      <c r="V109" s="123">
        <f>(U109/12*2*$E109*$G109*$H109*$M109*$V$11)+(U109/12*10*$F109*$G109*$H109*$M109*$V$12)</f>
        <v>0</v>
      </c>
      <c r="W109" s="123"/>
      <c r="X109" s="126">
        <f>(W109/12*2*$E109*$G109*$H109*$M109*$X$11)+(W109/12*10*$F109*$G109*$H109*$M109*$X$12)</f>
        <v>0</v>
      </c>
      <c r="Y109" s="123"/>
      <c r="Z109" s="123">
        <f>(Y109/12*2*$E109*$G109*$H109*$M109*$Z$11)+(Y109/12*10*$F109*$G109*$H109*$M109*$Z$12)</f>
        <v>0</v>
      </c>
      <c r="AA109" s="123"/>
      <c r="AB109" s="123">
        <f>(AA109/12*2*$E109*$G109*$H109*$M109*$AB$11)+(AA109/12*10*$F109*$G109*$H109*$M109*$AB$11)</f>
        <v>0</v>
      </c>
      <c r="AC109" s="123"/>
      <c r="AD109" s="123"/>
      <c r="AE109" s="123">
        <v>80</v>
      </c>
      <c r="AF109" s="123">
        <f>(AE109/12*2*$E109*$G109*$H109*$M109*$AF$11)+(AE109/12*10*$F109*$G109*$H109*$M109*$AF$11)</f>
        <v>10098939.927999999</v>
      </c>
      <c r="AG109" s="123">
        <v>0</v>
      </c>
      <c r="AH109" s="126">
        <f>(AG109/12*2*$E109*$G109*$H109*$M109*$AH$11)+(AG109/12*10*$F109*$G109*$H109*$M109*$AH$11)</f>
        <v>0</v>
      </c>
      <c r="AI109" s="123"/>
      <c r="AJ109" s="123">
        <f t="shared" si="141"/>
        <v>0</v>
      </c>
      <c r="AK109" s="123">
        <f>297-24</f>
        <v>273</v>
      </c>
      <c r="AL109" s="123">
        <f t="shared" si="142"/>
        <v>48558474.417180002</v>
      </c>
      <c r="AM109" s="132"/>
      <c r="AN109" s="123">
        <f>(AM109/12*2*$E109*$G109*$H109*$N109*$AN$11)+(AM109/12*10*$F109*$G109*$H109*$N109*$AN$12)</f>
        <v>0</v>
      </c>
      <c r="AO109" s="130"/>
      <c r="AP109" s="127">
        <f>(AO109/12*2*$E109*$G109*$H109*$N109*$AP$11)+(AO109/12*10*$F109*$G109*$H109*$N109*$AP$11)</f>
        <v>0</v>
      </c>
      <c r="AQ109" s="127">
        <v>0</v>
      </c>
      <c r="AR109" s="127">
        <v>0</v>
      </c>
      <c r="AS109" s="123"/>
      <c r="AT109" s="123">
        <f>(AS109/12*2*$E109*$G109*$H109*$M109*$AT$11)+(AS109/12*10*$F109*$G109*$H109*$M109*$AT$11)</f>
        <v>0</v>
      </c>
      <c r="AU109" s="123"/>
      <c r="AV109" s="126">
        <f>(AU109/12*2*$E109*$G109*$H109*$M109*$AV$11)+(AU109/12*10*$F109*$G109*$H109*$M109*$AV$12)</f>
        <v>0</v>
      </c>
      <c r="AW109" s="123"/>
      <c r="AX109" s="123">
        <f>(AW109/12*2*$E109*$G109*$H109*$M109*$AX$11)+(AW109/12*10*$F109*$G109*$H109*$M109*$AX$12)</f>
        <v>0</v>
      </c>
      <c r="AY109" s="123">
        <v>250</v>
      </c>
      <c r="AZ109" s="123">
        <f>(AY109/12*2*$E109*$G109*$H109*$N109*$AZ$11)+(AY109/12*10*$F109*$G109*$H109*$N109*$AZ$11)</f>
        <v>37871024.730000004</v>
      </c>
      <c r="BA109" s="123"/>
      <c r="BB109" s="123">
        <f>(BA109/12*2*$E109*$G109*$H109*$N109*$BB$11)+(BA109/12*10*$F109*$G109*$H109*$N109*$BB$12)</f>
        <v>0</v>
      </c>
      <c r="BC109" s="123"/>
      <c r="BD109" s="126">
        <f>(BC109/12*2*$E109*$G109*$H109*$N109*$BD$11)+(BC109/12*10*$F109*$G109*$H109*$N109*$BD$12)</f>
        <v>0</v>
      </c>
      <c r="BE109" s="123">
        <v>5</v>
      </c>
      <c r="BF109" s="123">
        <f>(BE109/12*10*$F109*$G109*$H109*$N109*$BF$12)</f>
        <v>578396.35</v>
      </c>
      <c r="BG109" s="123"/>
      <c r="BH109" s="123">
        <f>(BG109/12*2*$E109*$G109*$H109*$N109*$BH$11)+(BG109/12*10*$F109*$G109*$H109*$N109*$BH$11)</f>
        <v>0</v>
      </c>
      <c r="BI109" s="123">
        <v>2</v>
      </c>
      <c r="BJ109" s="126">
        <f>(BI109/12*2*$E109*$G109*$H109*$N109*$BJ$11)+(BI109/12*10*$F109*$G109*$H109*$N109*$BJ$11)</f>
        <v>330510.76127999998</v>
      </c>
      <c r="BK109" s="123"/>
      <c r="BL109" s="127">
        <f>(BK109/12*2*$E109*$G109*$H109*$N109*$BL$11)+(BK109/12*10*$F109*$G109*$H109*$N109*$BL$11)</f>
        <v>0</v>
      </c>
      <c r="BM109" s="123"/>
      <c r="BN109" s="123">
        <f>(BM109/12*2*$E109*$G109*$H109*$M109*$BN$11)+(BM109/12*10*$F109*$G109*$H109*$M109*$BN$11)</f>
        <v>0</v>
      </c>
      <c r="BO109" s="123"/>
      <c r="BP109" s="123">
        <f>(BO109/12*2*$E109*$G109*$H109*$M109*$BP$11)+(BO109/12*10*$F109*$G109*$H109*$M109*$BP$12)</f>
        <v>0</v>
      </c>
      <c r="BQ109" s="123"/>
      <c r="BR109" s="123">
        <f>(BQ109/12*2*$E109*$G109*$H109*$M109*$BR$11)+(BQ109/12*10*$F109*$G109*$H109*$M109*$BR$11)</f>
        <v>0</v>
      </c>
      <c r="BS109" s="123">
        <v>0</v>
      </c>
      <c r="BT109" s="123">
        <f>(BS109/12*2*$E109*$G109*$H109*$N109*$BT$11)+(BS109/12*10*$F109*$G109*$H109*$N109*$BT$11)</f>
        <v>0</v>
      </c>
      <c r="BU109" s="123"/>
      <c r="BV109" s="126">
        <f>(BU109/12*2*$E109*$G109*$H109*$M109*$BV$11)+(BU109/12*10*$F109*$G109*$H109*$M109*$BV$11)</f>
        <v>0</v>
      </c>
      <c r="BW109" s="200"/>
      <c r="BX109" s="123">
        <f>(BW109/12*2*$E109*$G109*$H109*$M109*$BX$11)+(BW109/12*10*$F109*$G109*$H109*$M109*$BX$11)</f>
        <v>0</v>
      </c>
      <c r="BY109" s="123"/>
      <c r="BZ109" s="123">
        <f>(BY109/12*2*$E109*$G109*$H109*$M109*$BZ$11)+(BY109/12*10*$F109*$G109*$H109*$M109*$BZ$11)</f>
        <v>0</v>
      </c>
      <c r="CA109" s="123"/>
      <c r="CB109" s="123">
        <f>(CA109/12*2*$E109*$G109*$H109*$M109*$CB$11)+(CA109/12*10*$F109*$G109*$H109*$M109*$CB$11)</f>
        <v>0</v>
      </c>
      <c r="CC109" s="123"/>
      <c r="CD109" s="123">
        <f>(CC109/12*2*$E109*$G109*$H109*$M109*$CD$11)+(CC109/12*10*$F109*$G109*$H109*$M109*$CD$11)</f>
        <v>0</v>
      </c>
      <c r="CE109" s="123"/>
      <c r="CF109" s="123">
        <f>(CE109/12*10*$F109*$G109*$H109*$N109*$CF$11)</f>
        <v>0</v>
      </c>
      <c r="CG109" s="132"/>
      <c r="CH109" s="123">
        <f>(CG109/12*2*$E109*$G109*$H109*$N109*$CH$11)+(CG109/12*10*$F109*$G109*$H109*$N109*$CH$11)</f>
        <v>0</v>
      </c>
      <c r="CI109" s="123"/>
      <c r="CJ109" s="127">
        <f t="shared" si="143"/>
        <v>0</v>
      </c>
      <c r="CK109" s="123"/>
      <c r="CL109" s="123">
        <f>(CK109/12*2*$E109*$G109*$H109*$N109*$CL$11)+(CK109/12*10*$F109*$G109*$H109*$N109*$CL$12)</f>
        <v>0</v>
      </c>
      <c r="CM109" s="130"/>
      <c r="CN109" s="123">
        <f>(CM109/12*2*$E109*$G109*$H109*$N109*$CN$11)+(CM109/12*10*$F109*$G109*$H109*$N109*$CN$11)</f>
        <v>0</v>
      </c>
      <c r="CO109" s="123">
        <v>0</v>
      </c>
      <c r="CP109" s="123">
        <v>0</v>
      </c>
      <c r="CQ109" s="123"/>
      <c r="CR109" s="123">
        <f>(CQ109/12*2*$E109*$G109*$H109*$O109*$CR$11)+(CQ109/12*10*$F109*$G109*$H109*$O109*$CR$11)</f>
        <v>0</v>
      </c>
      <c r="CS109" s="123"/>
      <c r="CT109" s="133">
        <f>(CS109/12*2*$E109*$G109*$H109*$P109*$CT$11)+(CS109/12*10*$F109*$G109*$H109*$P109*$CT$11)</f>
        <v>0</v>
      </c>
      <c r="CU109" s="127"/>
      <c r="CV109" s="127"/>
      <c r="CW109" s="126">
        <f t="shared" si="144"/>
        <v>1182</v>
      </c>
      <c r="CX109" s="126">
        <f t="shared" si="144"/>
        <v>169644766.67165998</v>
      </c>
    </row>
    <row r="110" spans="1:102" ht="30" x14ac:dyDescent="0.25">
      <c r="A110" s="91"/>
      <c r="B110" s="116">
        <v>84</v>
      </c>
      <c r="C110" s="117" t="s">
        <v>309</v>
      </c>
      <c r="D110" s="161" t="s">
        <v>310</v>
      </c>
      <c r="E110" s="95">
        <v>28004</v>
      </c>
      <c r="F110" s="96">
        <v>29405</v>
      </c>
      <c r="G110" s="119">
        <v>1.1200000000000001</v>
      </c>
      <c r="H110" s="110">
        <v>0.9</v>
      </c>
      <c r="I110" s="110">
        <v>0.85</v>
      </c>
      <c r="J110" s="108"/>
      <c r="K110" s="108"/>
      <c r="L110" s="63"/>
      <c r="M110" s="120">
        <v>1.4</v>
      </c>
      <c r="N110" s="120">
        <v>1.68</v>
      </c>
      <c r="O110" s="120">
        <v>2.23</v>
      </c>
      <c r="P110" s="121">
        <v>2.57</v>
      </c>
      <c r="Q110" s="122">
        <v>239</v>
      </c>
      <c r="R110" s="123">
        <f>(Q110/12*2*$E110*$G110*$H110*$M110*$R$11)+(Q110/12*10*$F110*$G110*$I110*$M110*$R$11)</f>
        <v>10317692.987653336</v>
      </c>
      <c r="S110" s="124">
        <v>691</v>
      </c>
      <c r="T110" s="125">
        <f>(S110/12*2*$E110*$G110*$H110*$M110*$R$11)+(S110/12*10*$F110*$G110*$I110*$M110*$R$11)</f>
        <v>29830652.110746674</v>
      </c>
      <c r="U110" s="123">
        <v>60</v>
      </c>
      <c r="V110" s="123">
        <f>(U110/12*2*$E110*$G110*$H110*$M110*$V$11)+(U110/12*10*$F110*$G110*$I110*$M110*$V$12)</f>
        <v>3159469.8632000005</v>
      </c>
      <c r="W110" s="123"/>
      <c r="X110" s="126">
        <f>(W110/12*2*$E110*$G110*$H110*$M110*$X$11)+(W110/12*10*$F110*$G110*$I110*$M110*$X$12)</f>
        <v>0</v>
      </c>
      <c r="Y110" s="123"/>
      <c r="Z110" s="123">
        <f>(Y110/12*2*$E110*$G110*$H110*$M110*$Z$11)+(Y110/12*10*$F110*$G110*$I110*$M110*$Z$12)</f>
        <v>0</v>
      </c>
      <c r="AA110" s="123"/>
      <c r="AB110" s="123">
        <f>(AA110/12*2*$E110*$G110*$H110*$M110*$AB$11)+(AA110/12*10*$F110*$G110*$I110*$M110*$AB$11)</f>
        <v>0</v>
      </c>
      <c r="AC110" s="123"/>
      <c r="AD110" s="123"/>
      <c r="AE110" s="123">
        <f>358+6</f>
        <v>364</v>
      </c>
      <c r="AF110" s="127">
        <f>(AE110/12*2*$E110*$G110*$H110*$M110*$AF$11)+(AE110/12*10*$F110*$G110*$I110*$M110*$AF$11)</f>
        <v>15713975.930986665</v>
      </c>
      <c r="AG110" s="123">
        <v>40</v>
      </c>
      <c r="AH110" s="126">
        <f>(AG110/12*2*$E110*$G110*$H110*$M110*$AH$11)+(AG110/12*10*$F110*$G110*$I110*$M110*$AH$11)</f>
        <v>1726810.5418666669</v>
      </c>
      <c r="AI110" s="130">
        <v>1162</v>
      </c>
      <c r="AJ110" s="123">
        <f>(AI110/12*2*$E110*$G110*$H110*$M110*$AJ$11)+(AI110/12*5*$F110*$G110*$I110*$M110*$AJ$12)+(AI110/12*5*$F110*$G110*$I110*$M110*$AJ$13)</f>
        <v>58905046.196079999</v>
      </c>
      <c r="AK110" s="123">
        <v>245</v>
      </c>
      <c r="AL110" s="123">
        <f>(AK110/12*2*$E110*$G110*$H110*$N110*$AL$11)+(AK110/12*5*$F110*$G110*$I110*$N110*$AL$12)+(AK110/12*5*$F110*$G110*$I110*$N110*$AL$13)</f>
        <v>14903686.386960004</v>
      </c>
      <c r="AM110" s="132"/>
      <c r="AN110" s="123">
        <f>(AM110/12*2*$E110*$G110*$H110*$N110*$AN$11)+(AM110/12*10*$F110*$G110*$I110*$N110*$AN$12)</f>
        <v>0</v>
      </c>
      <c r="AO110" s="130">
        <v>13</v>
      </c>
      <c r="AP110" s="127">
        <f>(AO110/12*2*$E110*$G110*$H110*$N110*$AP$11)+(AO110/12*10*$F110*$G110*$I110*$N110*$AP$11)</f>
        <v>673456.11132799997</v>
      </c>
      <c r="AQ110" s="127">
        <v>25</v>
      </c>
      <c r="AR110" s="127">
        <v>1296335.6000000001</v>
      </c>
      <c r="AS110" s="123"/>
      <c r="AT110" s="123"/>
      <c r="AU110" s="123"/>
      <c r="AV110" s="126"/>
      <c r="AW110" s="123">
        <v>121</v>
      </c>
      <c r="AX110" s="123">
        <f>(AW110/12*2*$E110*$G110*$H110*$M110*$AX$11)+(AW110/12*10*$F110*$G110*$I110*$M110*$AX$12)</f>
        <v>5461369.3349599997</v>
      </c>
      <c r="AY110" s="123">
        <v>690</v>
      </c>
      <c r="AZ110" s="123">
        <f>(AY110/12*2*$E110*$G110*$H110*$N110*$AZ$11)+(AY110/12*10*$F110*$G110*$I110*$N110*$AZ$11)</f>
        <v>35744978.216639996</v>
      </c>
      <c r="BA110" s="123"/>
      <c r="BB110" s="123">
        <f>(BA110/12*2*$E110*$G110*$H110*$N110*$BB$11)+(BA110/12*10*$F110*$G110*$I110*$N110*$BB$12)</f>
        <v>0</v>
      </c>
      <c r="BC110" s="123"/>
      <c r="BD110" s="126"/>
      <c r="BE110" s="123">
        <v>75</v>
      </c>
      <c r="BF110" s="123">
        <f>(BE110/12*10*$F110*$G110*$I110*$N110*$BF$12)</f>
        <v>2939323.8000000003</v>
      </c>
      <c r="BG110" s="123">
        <v>44</v>
      </c>
      <c r="BH110" s="123">
        <f>(BG110/12*2*$E110*$G110*$H110*$N110*$BH$11)+(BG110/12*10*$F110*$G110*$I110*$N110*$BH$11)</f>
        <v>1864955.3852159998</v>
      </c>
      <c r="BI110" s="123">
        <v>72</v>
      </c>
      <c r="BJ110" s="126">
        <f>(BI110/12*2*$E110*$G110*$H110*$N110*$BJ$11)+(BI110/12*10*$F110*$G110*$I110*$N110*$BJ$11)</f>
        <v>4068993.5677440003</v>
      </c>
      <c r="BK110" s="123">
        <v>125</v>
      </c>
      <c r="BL110" s="127">
        <f>(BK110/12*2*$E110*$G110*$H110*$N110*$BL$11)+(BK110/12*10*$F110*$G110*$I110*$N110*$BL$11)</f>
        <v>7064224.9440000001</v>
      </c>
      <c r="BM110" s="123"/>
      <c r="BN110" s="123">
        <f>(BM110/12*2*$E110*$G110*$H110*$M110*$BN$11)+(BM110/12*10*$F110*$G110*$I110*$M110*$BN$11)</f>
        <v>0</v>
      </c>
      <c r="BO110" s="123"/>
      <c r="BP110" s="123">
        <f>(BO110/12*2*$E110*$G110*$H110*$M110*$BP$11)+(BO110/12*10*$F110*$G110*$I110*$M110*$BP$12)</f>
        <v>0</v>
      </c>
      <c r="BQ110" s="123"/>
      <c r="BR110" s="123">
        <f>(BQ110/12*2*$E110*$G110*$H110*$M110*$BR$11)+(BQ110/12*10*$F110*$G110*$I110*$M110*$BR$11)</f>
        <v>0</v>
      </c>
      <c r="BS110" s="123">
        <v>0</v>
      </c>
      <c r="BT110" s="123">
        <f>(BS110/12*2*$E110*$G110*$H110*$N110*$BT$11)+(BS110/12*10*$F110*$G110*$I110*$N110*$BT$11)</f>
        <v>0</v>
      </c>
      <c r="BU110" s="123"/>
      <c r="BV110" s="126">
        <f>(BU110/12*2*$E110*$G110*$H110*$M110*$BV$11)+(BU110/12*10*$F110*$G110*$I110*$M110*$BV$11)</f>
        <v>0</v>
      </c>
      <c r="BW110" s="123"/>
      <c r="BX110" s="123">
        <f>(BW110/12*2*$E110*$G110*$H110*$M110*$BX$11)+(BW110/12*10*$F110*$G110*$I110*$M110*$BX$11)</f>
        <v>0</v>
      </c>
      <c r="BY110" s="123"/>
      <c r="BZ110" s="123">
        <f>(BY110/12*2*$E110*$G110*$H110*$M110*$BZ$11)+(BY110/12*10*$F110*$G110*$I110*$M110*$BZ$11)</f>
        <v>0</v>
      </c>
      <c r="CA110" s="123">
        <v>316</v>
      </c>
      <c r="CB110" s="123">
        <f>(CA110/12*2*$E110*$G110*$H110*$M110*$CB$11)+(CA110/12*10*$F110*$G110*$I110*$M110*$CB$11)</f>
        <v>14881967.215359997</v>
      </c>
      <c r="CC110" s="123"/>
      <c r="CD110" s="123">
        <f>(CC110/12*2*$E110*$G110*$H110*$M110*$CD$11)+(CC110/12*10*$F110*$G110*$I110*$M110*$CD$11)</f>
        <v>0</v>
      </c>
      <c r="CE110" s="123"/>
      <c r="CF110" s="123">
        <f>(CE110/12*10*$F110*$G110*$I110*$N110*$CF$11)</f>
        <v>0</v>
      </c>
      <c r="CG110" s="132"/>
      <c r="CH110" s="123">
        <f>(CG110/12*2*$E110*$G110*$H110*$N110*$CH$11)+(CG110/12*10*$F110*$G110*$I110*$N110*$CH$11)</f>
        <v>0</v>
      </c>
      <c r="CI110" s="123"/>
      <c r="CJ110" s="127"/>
      <c r="CK110" s="123">
        <v>5</v>
      </c>
      <c r="CL110" s="123">
        <f>(CK110/12*2*$E110*$G110*$H110*$N110*$CL$11)+(CK110/12*10*$F110*$G110*$I110*$N110*$CL$12)</f>
        <v>207974.82384000003</v>
      </c>
      <c r="CM110" s="130"/>
      <c r="CN110" s="123">
        <f>(CM110/12*2*$E110*$G110*$H110*$N110*$CN$11)+(CM110/12*10*$F110*$G110*$I110*$N110*$CN$11)</f>
        <v>0</v>
      </c>
      <c r="CO110" s="123">
        <v>29</v>
      </c>
      <c r="CP110" s="123">
        <v>354885.36</v>
      </c>
      <c r="CQ110" s="123"/>
      <c r="CR110" s="123">
        <f>(CQ110/12*2*$E110*$G110*$H110*$O110*$CR$11)+(CQ110/12*10*$F110*$G110*$I110*$O110*$CR$11)</f>
        <v>0</v>
      </c>
      <c r="CS110" s="123"/>
      <c r="CT110" s="133">
        <f>(CS110/12*2*$E110*$G110*$H110*$P110*$CT$11)+(CS110/12*10*$F110*$G110*$I110*$P110*$CT$11)</f>
        <v>0</v>
      </c>
      <c r="CU110" s="127"/>
      <c r="CV110" s="127"/>
      <c r="CW110" s="126">
        <f t="shared" si="144"/>
        <v>4316</v>
      </c>
      <c r="CX110" s="126">
        <f t="shared" si="144"/>
        <v>209115798.37658131</v>
      </c>
    </row>
    <row r="111" spans="1:102" ht="30" x14ac:dyDescent="0.25">
      <c r="A111" s="277" t="s">
        <v>306</v>
      </c>
      <c r="B111" s="116">
        <v>85</v>
      </c>
      <c r="C111" s="117" t="s">
        <v>311</v>
      </c>
      <c r="D111" s="161" t="s">
        <v>312</v>
      </c>
      <c r="E111" s="95">
        <v>28004</v>
      </c>
      <c r="F111" s="96">
        <v>29405</v>
      </c>
      <c r="G111" s="119">
        <v>2.0099999999999998</v>
      </c>
      <c r="H111" s="107">
        <v>1</v>
      </c>
      <c r="I111" s="108"/>
      <c r="J111" s="108"/>
      <c r="K111" s="108"/>
      <c r="L111" s="63"/>
      <c r="M111" s="120">
        <v>1.4</v>
      </c>
      <c r="N111" s="120">
        <v>1.68</v>
      </c>
      <c r="O111" s="120">
        <v>2.23</v>
      </c>
      <c r="P111" s="121">
        <v>2.57</v>
      </c>
      <c r="Q111" s="122">
        <v>101</v>
      </c>
      <c r="R111" s="123">
        <f t="shared" ref="R111:R116" si="145">(Q111/12*2*$E111*$G111*$H111*$M111*$R$11)+(Q111/12*10*$F111*$G111*$H111*$M111*$R$11)</f>
        <v>9120043.5710999984</v>
      </c>
      <c r="S111" s="124">
        <v>23</v>
      </c>
      <c r="T111" s="125">
        <f t="shared" ref="T111:T116" si="146">(S111/12*2*$E111*$G111*$H111*$M111*$R$11)+(S111/12*10*$F111*$G111*$H111*$M111*$R$11)</f>
        <v>2076841.6052999999</v>
      </c>
      <c r="U111" s="123"/>
      <c r="V111" s="123">
        <f t="shared" ref="V111:V116" si="147">(U111/12*2*$E111*$G111*$H111*$M111*$V$11)+(U111/12*10*$F111*$G111*$H111*$M111*$V$12)</f>
        <v>0</v>
      </c>
      <c r="W111" s="123"/>
      <c r="X111" s="126">
        <f t="shared" ref="X111:X116" si="148">(W111/12*2*$E111*$G111*$H111*$M111*$X$11)+(W111/12*10*$F111*$G111*$H111*$M111*$X$12)</f>
        <v>0</v>
      </c>
      <c r="Y111" s="123"/>
      <c r="Z111" s="123">
        <f t="shared" ref="Z111:Z116" si="149">(Y111/12*2*$E111*$G111*$H111*$M111*$Z$11)+(Y111/12*10*$F111*$G111*$H111*$M111*$Z$12)</f>
        <v>0</v>
      </c>
      <c r="AA111" s="123"/>
      <c r="AB111" s="123">
        <f t="shared" ref="AB111:AB116" si="150">(AA111/12*2*$E111*$G111*$H111*$M111*$AB$11)+(AA111/12*10*$F111*$G111*$H111*$M111*$AB$11)</f>
        <v>0</v>
      </c>
      <c r="AC111" s="123"/>
      <c r="AD111" s="123"/>
      <c r="AE111" s="123">
        <v>5</v>
      </c>
      <c r="AF111" s="123">
        <f t="shared" ref="AF111:AF116" si="151">(AE111/12*2*$E111*$G111*$H111*$M111*$AF$11)+(AE111/12*10*$F111*$G111*$H111*$M111*$AF$11)</f>
        <v>451487.30550000002</v>
      </c>
      <c r="AG111" s="135">
        <v>0</v>
      </c>
      <c r="AH111" s="136">
        <f t="shared" ref="AH111:AH116" si="152">(AG111/12*2*$E111*$G111*$H111*$M111*$AH$11)+(AG111/12*10*$F111*$G111*$H111*$M111*$AH$11)</f>
        <v>0</v>
      </c>
      <c r="AI111" s="123"/>
      <c r="AJ111" s="123">
        <f t="shared" ref="AJ111:AJ116" si="153">(AI111/12*2*$E111*$G111*$H111*$M111*$AJ$11)+(AI111/12*5*$F111*$G111*$H111*$M111*$AJ$12)+(AI111/12*5*$F111*$G111*$H111*$M111*$AJ$13)</f>
        <v>0</v>
      </c>
      <c r="AK111" s="123">
        <v>65</v>
      </c>
      <c r="AL111" s="123">
        <f>(AK111/12*2*$E111*$G111*$H111*$N111*$AL$11)+(AK111/12*5*$F111*$G111*$H111*$N111*$AL$12)+(AK111/12*5*$F111*$G111*$H111*$N111*$AL$13)</f>
        <v>8269999.4559000004</v>
      </c>
      <c r="AM111" s="132"/>
      <c r="AN111" s="123">
        <f t="shared" ref="AN111:AN116" si="154">(AM111/12*2*$E111*$G111*$H111*$N111*$AN$11)+(AM111/12*10*$F111*$G111*$H111*$N111*$AN$12)</f>
        <v>0</v>
      </c>
      <c r="AO111" s="130">
        <v>0</v>
      </c>
      <c r="AP111" s="127">
        <f t="shared" ref="AP111:AP116" si="155">(AO111/12*2*$E111*$G111*$H111*$N111*$AP$11)+(AO111/12*10*$F111*$G111*$H111*$N111*$AP$11)</f>
        <v>0</v>
      </c>
      <c r="AQ111" s="127">
        <v>0</v>
      </c>
      <c r="AR111" s="127">
        <v>0</v>
      </c>
      <c r="AS111" s="123"/>
      <c r="AT111" s="123">
        <f t="shared" ref="AT111:AT116" si="156">(AS111/12*2*$E111*$G111*$H111*$M111*$AT$11)+(AS111/12*10*$F111*$G111*$H111*$M111*$AT$11)</f>
        <v>0</v>
      </c>
      <c r="AU111" s="123"/>
      <c r="AV111" s="126">
        <f t="shared" ref="AV111:AV116" si="157">(AU111/12*2*$E111*$G111*$H111*$M111*$AV$11)+(AU111/12*10*$F111*$G111*$H111*$M111*$AV$12)</f>
        <v>0</v>
      </c>
      <c r="AW111" s="123"/>
      <c r="AX111" s="123">
        <f t="shared" ref="AX111:AX116" si="158">(AW111/12*2*$E111*$G111*$H111*$M111*$AX$11)+(AW111/12*10*$F111*$G111*$H111*$M111*$AX$12)</f>
        <v>0</v>
      </c>
      <c r="AY111" s="123">
        <v>40</v>
      </c>
      <c r="AZ111" s="123">
        <f t="shared" ref="AZ111:AZ116" si="159">(AY111/12*2*$E111*$G111*$H111*$N111*$AZ$11)+(AY111/12*10*$F111*$G111*$H111*$N111*$AZ$11)</f>
        <v>4334278.1327999998</v>
      </c>
      <c r="BA111" s="123"/>
      <c r="BB111" s="123">
        <f t="shared" ref="BB111:BB116" si="160">(BA111/12*2*$E111*$G111*$H111*$N111*$BB$11)+(BA111/12*10*$F111*$G111*$H111*$N111*$BB$12)</f>
        <v>0</v>
      </c>
      <c r="BC111" s="123"/>
      <c r="BD111" s="126">
        <f t="shared" ref="BD111:BD116" si="161">(BC111/12*2*$E111*$G111*$H111*$N111*$BD$11)+(BC111/12*10*$F111*$G111*$H111*$N111*$BD$12)</f>
        <v>0</v>
      </c>
      <c r="BE111" s="123">
        <v>10</v>
      </c>
      <c r="BF111" s="123">
        <f t="shared" ref="BF111:BF116" si="162">(BE111/12*10*$F111*$G111*$H111*$N111*$BF$12)</f>
        <v>827456.7</v>
      </c>
      <c r="BG111" s="123"/>
      <c r="BH111" s="123">
        <f t="shared" ref="BH111:BH116" si="163">(BG111/12*2*$E111*$G111*$H111*$N111*$BH$11)+(BG111/12*10*$F111*$G111*$H111*$N111*$BH$11)</f>
        <v>0</v>
      </c>
      <c r="BI111" s="123">
        <v>1</v>
      </c>
      <c r="BJ111" s="126">
        <f t="shared" ref="BJ111:BJ116" si="164">(BI111/12*2*$E111*$G111*$H111*$N111*$BJ$11)+(BI111/12*10*$F111*$G111*$H111*$N111*$BJ$11)</f>
        <v>118207.58543999997</v>
      </c>
      <c r="BK111" s="123"/>
      <c r="BL111" s="127">
        <f t="shared" ref="BL111:BL116" si="165">(BK111/12*2*$E111*$G111*$H111*$N111*$BL$11)+(BK111/12*10*$F111*$G111*$H111*$N111*$BL$11)</f>
        <v>0</v>
      </c>
      <c r="BM111" s="123"/>
      <c r="BN111" s="123">
        <f t="shared" ref="BN111:BN116" si="166">(BM111/12*2*$E111*$G111*$H111*$M111*$BN$11)+(BM111/12*10*$F111*$G111*$H111*$M111*$BN$11)</f>
        <v>0</v>
      </c>
      <c r="BO111" s="123"/>
      <c r="BP111" s="123">
        <f t="shared" ref="BP111:BP116" si="167">(BO111/12*2*$E111*$G111*$H111*$M111*$BP$11)+(BO111/12*10*$F111*$G111*$H111*$M111*$BP$12)</f>
        <v>0</v>
      </c>
      <c r="BQ111" s="123"/>
      <c r="BR111" s="123">
        <f t="shared" ref="BR111:BR116" si="168">(BQ111/12*2*$E111*$G111*$H111*$M111*$BR$11)+(BQ111/12*10*$F111*$G111*$H111*$M111*$BR$11)</f>
        <v>0</v>
      </c>
      <c r="BS111" s="123">
        <v>60</v>
      </c>
      <c r="BT111" s="123">
        <f t="shared" ref="BT111:BT116" si="169">(BS111/12*2*$E111*$G111*$H111*$N111*$BT$11)+(BS111/12*10*$F111*$G111*$H111*$N111*$BT$11)</f>
        <v>5910379.2719999989</v>
      </c>
      <c r="BU111" s="123"/>
      <c r="BV111" s="126">
        <f t="shared" ref="BV111:BV116" si="170">(BU111/12*2*$E111*$G111*$H111*$M111*$BV$11)+(BU111/12*10*$F111*$G111*$H111*$M111*$BV$11)</f>
        <v>0</v>
      </c>
      <c r="BW111" s="123"/>
      <c r="BX111" s="123">
        <f t="shared" ref="BX111:BX116" si="171">(BW111/12*2*$E111*$G111*$H111*$M111*$BX$11)+(BW111/12*10*$F111*$G111*$H111*$M111*$BX$11)</f>
        <v>0</v>
      </c>
      <c r="BY111" s="123"/>
      <c r="BZ111" s="123">
        <f t="shared" ref="BZ111:BZ116" si="172">(BY111/12*2*$E111*$G111*$H111*$M111*$BZ$11)+(BY111/12*10*$F111*$G111*$H111*$M111*$BZ$11)</f>
        <v>0</v>
      </c>
      <c r="CA111" s="123"/>
      <c r="CB111" s="123">
        <f t="shared" ref="CB111:CB116" si="173">(CA111/12*2*$E111*$G111*$H111*$M111*$CB$11)+(CA111/12*10*$F111*$G111*$H111*$M111*$CB$11)</f>
        <v>0</v>
      </c>
      <c r="CC111" s="123"/>
      <c r="CD111" s="123">
        <f t="shared" ref="CD111:CD116" si="174">(CC111/12*2*$E111*$G111*$H111*$M111*$CD$11)+(CC111/12*10*$F111*$G111*$H111*$M111*$CD$11)</f>
        <v>0</v>
      </c>
      <c r="CE111" s="123"/>
      <c r="CF111" s="123">
        <f t="shared" ref="CF111:CF116" si="175">(CE111/12*10*$F111*$G111*$H111*$N111*$CF$11)</f>
        <v>0</v>
      </c>
      <c r="CG111" s="132"/>
      <c r="CH111" s="123">
        <f t="shared" ref="CH111:CH116" si="176">(CG111/12*2*$E111*$G111*$H111*$N111*$CH$11)+(CG111/12*10*$F111*$G111*$H111*$N111*$CH$11)</f>
        <v>0</v>
      </c>
      <c r="CI111" s="123"/>
      <c r="CJ111" s="127">
        <f t="shared" si="143"/>
        <v>0</v>
      </c>
      <c r="CK111" s="123"/>
      <c r="CL111" s="123">
        <f t="shared" ref="CL111:CL116" si="177">(CK111/12*2*$E111*$G111*$H111*$N111*$CL$11)+(CK111/12*10*$F111*$G111*$H111*$N111*$CL$12)</f>
        <v>0</v>
      </c>
      <c r="CM111" s="130"/>
      <c r="CN111" s="123">
        <f t="shared" ref="CN111:CN116" si="178">(CM111/12*2*$E111*$G111*$H111*$N111*$CN$11)+(CM111/12*10*$F111*$G111*$H111*$N111*$CN$11)</f>
        <v>0</v>
      </c>
      <c r="CO111" s="123">
        <v>0</v>
      </c>
      <c r="CP111" s="123">
        <v>0</v>
      </c>
      <c r="CQ111" s="123"/>
      <c r="CR111" s="123">
        <f t="shared" ref="CR111:CR116" si="179">(CQ111/12*2*$E111*$G111*$H111*$O111*$CR$11)+(CQ111/12*10*$F111*$G111*$H111*$O111*$CR$11)</f>
        <v>0</v>
      </c>
      <c r="CS111" s="123"/>
      <c r="CT111" s="133">
        <f t="shared" ref="CT111:CT116" si="180">(CS111/12*2*$E111*$G111*$H111*$P111*$CT$11)+(CS111/12*10*$F111*$G111*$H111*$P111*$CT$11)</f>
        <v>0</v>
      </c>
      <c r="CU111" s="127"/>
      <c r="CV111" s="123">
        <f t="shared" ref="CV111:CV116" si="181">(CU111*$E111*$G111*$H111*$M111*CV$11)/12*6+(CU111*$E111*$G111*$H111*1*CV$11)/12*6</f>
        <v>0</v>
      </c>
      <c r="CW111" s="126">
        <f t="shared" si="144"/>
        <v>305</v>
      </c>
      <c r="CX111" s="126">
        <f t="shared" si="144"/>
        <v>31108693.628039997</v>
      </c>
    </row>
    <row r="112" spans="1:102" ht="30" customHeight="1" x14ac:dyDescent="0.25">
      <c r="A112" s="91"/>
      <c r="B112" s="116">
        <v>86</v>
      </c>
      <c r="C112" s="117" t="s">
        <v>313</v>
      </c>
      <c r="D112" s="161" t="s">
        <v>314</v>
      </c>
      <c r="E112" s="95">
        <v>28004</v>
      </c>
      <c r="F112" s="96">
        <v>29405</v>
      </c>
      <c r="G112" s="119">
        <v>1.42</v>
      </c>
      <c r="H112" s="107">
        <v>1</v>
      </c>
      <c r="I112" s="108"/>
      <c r="J112" s="108"/>
      <c r="K112" s="108"/>
      <c r="L112" s="63"/>
      <c r="M112" s="120">
        <v>1.4</v>
      </c>
      <c r="N112" s="120">
        <v>1.68</v>
      </c>
      <c r="O112" s="120">
        <v>2.23</v>
      </c>
      <c r="P112" s="121">
        <v>2.57</v>
      </c>
      <c r="Q112" s="122">
        <v>29</v>
      </c>
      <c r="R112" s="123">
        <f t="shared" si="145"/>
        <v>1849974.8498</v>
      </c>
      <c r="S112" s="124">
        <v>11</v>
      </c>
      <c r="T112" s="125">
        <f t="shared" si="146"/>
        <v>701714.59819999989</v>
      </c>
      <c r="U112" s="123">
        <v>9</v>
      </c>
      <c r="V112" s="123">
        <f t="shared" si="147"/>
        <v>700021.07069999992</v>
      </c>
      <c r="W112" s="123"/>
      <c r="X112" s="126">
        <f t="shared" si="148"/>
        <v>0</v>
      </c>
      <c r="Y112" s="123"/>
      <c r="Z112" s="123">
        <f t="shared" si="149"/>
        <v>0</v>
      </c>
      <c r="AA112" s="123"/>
      <c r="AB112" s="123">
        <f t="shared" si="150"/>
        <v>0</v>
      </c>
      <c r="AC112" s="123"/>
      <c r="AD112" s="123"/>
      <c r="AE112" s="123">
        <v>22</v>
      </c>
      <c r="AF112" s="127">
        <f t="shared" si="151"/>
        <v>1403429.1963999998</v>
      </c>
      <c r="AG112" s="123">
        <v>5</v>
      </c>
      <c r="AH112" s="126">
        <f t="shared" si="152"/>
        <v>318961.18099999998</v>
      </c>
      <c r="AI112" s="130">
        <v>10</v>
      </c>
      <c r="AJ112" s="123">
        <f t="shared" si="153"/>
        <v>749036.81766666658</v>
      </c>
      <c r="AK112" s="123">
        <v>70</v>
      </c>
      <c r="AL112" s="123">
        <f>(AK112/12*2*$E112*$G112*$H112*$N112*$AL$11)+(AK112/12*5*$F112*$G112*$H112*$N112*$AL$12)+(AK112/12*5*$F112*$G112*$H112*$N112*$AL$13)</f>
        <v>6291909.2684000004</v>
      </c>
      <c r="AM112" s="132"/>
      <c r="AN112" s="123">
        <f t="shared" si="154"/>
        <v>0</v>
      </c>
      <c r="AO112" s="130"/>
      <c r="AP112" s="127">
        <f t="shared" si="155"/>
        <v>0</v>
      </c>
      <c r="AQ112" s="127">
        <v>2</v>
      </c>
      <c r="AR112" s="127">
        <v>154326.84</v>
      </c>
      <c r="AS112" s="123"/>
      <c r="AT112" s="123">
        <f t="shared" si="156"/>
        <v>0</v>
      </c>
      <c r="AU112" s="123"/>
      <c r="AV112" s="126">
        <f t="shared" si="157"/>
        <v>0</v>
      </c>
      <c r="AW112" s="123">
        <v>7</v>
      </c>
      <c r="AX112" s="123">
        <f t="shared" si="158"/>
        <v>466680.71379999997</v>
      </c>
      <c r="AY112" s="123">
        <v>45</v>
      </c>
      <c r="AZ112" s="123">
        <f t="shared" si="159"/>
        <v>3444780.7548000002</v>
      </c>
      <c r="BA112" s="123"/>
      <c r="BB112" s="123">
        <f t="shared" si="160"/>
        <v>0</v>
      </c>
      <c r="BC112" s="123"/>
      <c r="BD112" s="126">
        <f t="shared" si="161"/>
        <v>0</v>
      </c>
      <c r="BE112" s="123">
        <v>7</v>
      </c>
      <c r="BF112" s="123">
        <f t="shared" si="162"/>
        <v>409199.98000000004</v>
      </c>
      <c r="BG112" s="123">
        <v>2</v>
      </c>
      <c r="BH112" s="123">
        <f t="shared" si="163"/>
        <v>125264.75471999998</v>
      </c>
      <c r="BI112" s="123">
        <v>13</v>
      </c>
      <c r="BJ112" s="126">
        <f t="shared" si="164"/>
        <v>1085627.8742399998</v>
      </c>
      <c r="BK112" s="123">
        <v>5</v>
      </c>
      <c r="BL112" s="127">
        <f t="shared" si="165"/>
        <v>417549.18240000005</v>
      </c>
      <c r="BM112" s="123"/>
      <c r="BN112" s="123">
        <f t="shared" si="166"/>
        <v>0</v>
      </c>
      <c r="BO112" s="123"/>
      <c r="BP112" s="123">
        <f t="shared" si="167"/>
        <v>0</v>
      </c>
      <c r="BQ112" s="123"/>
      <c r="BR112" s="123">
        <f t="shared" si="168"/>
        <v>0</v>
      </c>
      <c r="BS112" s="123">
        <v>0</v>
      </c>
      <c r="BT112" s="123">
        <f t="shared" si="169"/>
        <v>0</v>
      </c>
      <c r="BU112" s="123"/>
      <c r="BV112" s="126">
        <f t="shared" si="170"/>
        <v>0</v>
      </c>
      <c r="BW112" s="123"/>
      <c r="BX112" s="123">
        <f t="shared" si="171"/>
        <v>0</v>
      </c>
      <c r="BY112" s="123"/>
      <c r="BZ112" s="123">
        <f t="shared" si="172"/>
        <v>0</v>
      </c>
      <c r="CA112" s="123">
        <v>102</v>
      </c>
      <c r="CB112" s="123">
        <f t="shared" si="173"/>
        <v>7098336.1007999992</v>
      </c>
      <c r="CC112" s="123"/>
      <c r="CD112" s="123">
        <f t="shared" si="174"/>
        <v>0</v>
      </c>
      <c r="CE112" s="123"/>
      <c r="CF112" s="123">
        <f t="shared" si="175"/>
        <v>0</v>
      </c>
      <c r="CG112" s="132"/>
      <c r="CH112" s="123">
        <f t="shared" si="176"/>
        <v>0</v>
      </c>
      <c r="CI112" s="123"/>
      <c r="CJ112" s="127">
        <f t="shared" si="143"/>
        <v>0</v>
      </c>
      <c r="CK112" s="123"/>
      <c r="CL112" s="123">
        <f t="shared" si="177"/>
        <v>0</v>
      </c>
      <c r="CM112" s="130"/>
      <c r="CN112" s="123">
        <f t="shared" si="178"/>
        <v>0</v>
      </c>
      <c r="CO112" s="123">
        <v>5</v>
      </c>
      <c r="CP112" s="123">
        <v>70148.570000000007</v>
      </c>
      <c r="CQ112" s="123"/>
      <c r="CR112" s="123">
        <f t="shared" si="179"/>
        <v>0</v>
      </c>
      <c r="CS112" s="123"/>
      <c r="CT112" s="133">
        <f t="shared" si="180"/>
        <v>0</v>
      </c>
      <c r="CU112" s="127"/>
      <c r="CV112" s="123">
        <f t="shared" si="181"/>
        <v>0</v>
      </c>
      <c r="CW112" s="126">
        <f t="shared" si="144"/>
        <v>344</v>
      </c>
      <c r="CX112" s="126">
        <f t="shared" si="144"/>
        <v>25286961.752926666</v>
      </c>
    </row>
    <row r="113" spans="1:102" ht="30" x14ac:dyDescent="0.25">
      <c r="A113" s="277" t="s">
        <v>306</v>
      </c>
      <c r="B113" s="116">
        <v>87</v>
      </c>
      <c r="C113" s="117" t="s">
        <v>315</v>
      </c>
      <c r="D113" s="161" t="s">
        <v>316</v>
      </c>
      <c r="E113" s="95">
        <v>28004</v>
      </c>
      <c r="F113" s="96">
        <v>29405</v>
      </c>
      <c r="G113" s="119">
        <v>2.38</v>
      </c>
      <c r="H113" s="107">
        <v>1</v>
      </c>
      <c r="I113" s="108"/>
      <c r="J113" s="108"/>
      <c r="K113" s="108"/>
      <c r="L113" s="63"/>
      <c r="M113" s="120">
        <v>1.4</v>
      </c>
      <c r="N113" s="120">
        <v>1.68</v>
      </c>
      <c r="O113" s="120">
        <v>2.23</v>
      </c>
      <c r="P113" s="121">
        <v>2.57</v>
      </c>
      <c r="Q113" s="122">
        <v>18</v>
      </c>
      <c r="R113" s="123">
        <f t="shared" si="145"/>
        <v>1924548.8724000002</v>
      </c>
      <c r="S113" s="124">
        <v>9</v>
      </c>
      <c r="T113" s="125">
        <f t="shared" si="146"/>
        <v>962274.43620000011</v>
      </c>
      <c r="U113" s="123"/>
      <c r="V113" s="123">
        <f t="shared" si="147"/>
        <v>0</v>
      </c>
      <c r="W113" s="123"/>
      <c r="X113" s="126">
        <f t="shared" si="148"/>
        <v>0</v>
      </c>
      <c r="Y113" s="123"/>
      <c r="Z113" s="123">
        <f t="shared" si="149"/>
        <v>0</v>
      </c>
      <c r="AA113" s="123"/>
      <c r="AB113" s="123">
        <f t="shared" si="150"/>
        <v>0</v>
      </c>
      <c r="AC113" s="123"/>
      <c r="AD113" s="123"/>
      <c r="AE113" s="123">
        <v>10</v>
      </c>
      <c r="AF113" s="123">
        <f t="shared" si="151"/>
        <v>1069193.8180000002</v>
      </c>
      <c r="AG113" s="135">
        <v>0</v>
      </c>
      <c r="AH113" s="136">
        <f t="shared" si="152"/>
        <v>0</v>
      </c>
      <c r="AI113" s="123"/>
      <c r="AJ113" s="123">
        <f t="shared" si="153"/>
        <v>0</v>
      </c>
      <c r="AK113" s="123">
        <v>15</v>
      </c>
      <c r="AL113" s="123">
        <f>(AK113/12*2*$E113*$G113*$H113*$N113*$AL$11)+(AK113/12*5*$F113*$G113*$H113*$N113*$AL$12)+(AK113/12*5*$F113*$G113*$H113*$N113*$AL$13)</f>
        <v>2259770.2302000001</v>
      </c>
      <c r="AM113" s="132"/>
      <c r="AN113" s="123">
        <f t="shared" si="154"/>
        <v>0</v>
      </c>
      <c r="AO113" s="130">
        <v>2</v>
      </c>
      <c r="AP113" s="127">
        <f t="shared" si="155"/>
        <v>256606.51631999994</v>
      </c>
      <c r="AQ113" s="127">
        <v>0</v>
      </c>
      <c r="AR113" s="127">
        <v>0</v>
      </c>
      <c r="AS113" s="123"/>
      <c r="AT113" s="123">
        <f t="shared" si="156"/>
        <v>0</v>
      </c>
      <c r="AU113" s="123"/>
      <c r="AV113" s="126">
        <f t="shared" si="157"/>
        <v>0</v>
      </c>
      <c r="AW113" s="123"/>
      <c r="AX113" s="123">
        <f t="shared" si="158"/>
        <v>0</v>
      </c>
      <c r="AY113" s="123">
        <v>5</v>
      </c>
      <c r="AZ113" s="123">
        <f t="shared" si="159"/>
        <v>641516.29080000019</v>
      </c>
      <c r="BA113" s="123"/>
      <c r="BB113" s="123">
        <f t="shared" si="160"/>
        <v>0</v>
      </c>
      <c r="BC113" s="123"/>
      <c r="BD113" s="126">
        <f t="shared" si="161"/>
        <v>0</v>
      </c>
      <c r="BE113" s="123"/>
      <c r="BF113" s="123">
        <f t="shared" si="162"/>
        <v>0</v>
      </c>
      <c r="BG113" s="123"/>
      <c r="BH113" s="123">
        <f t="shared" si="163"/>
        <v>0</v>
      </c>
      <c r="BI113" s="123"/>
      <c r="BJ113" s="126">
        <f t="shared" si="164"/>
        <v>0</v>
      </c>
      <c r="BK113" s="123"/>
      <c r="BL113" s="127">
        <f t="shared" si="165"/>
        <v>0</v>
      </c>
      <c r="BM113" s="123"/>
      <c r="BN113" s="123">
        <f t="shared" si="166"/>
        <v>0</v>
      </c>
      <c r="BO113" s="123"/>
      <c r="BP113" s="123">
        <f t="shared" si="167"/>
        <v>0</v>
      </c>
      <c r="BQ113" s="123"/>
      <c r="BR113" s="123">
        <f t="shared" si="168"/>
        <v>0</v>
      </c>
      <c r="BS113" s="123">
        <v>2</v>
      </c>
      <c r="BT113" s="123">
        <f t="shared" si="169"/>
        <v>233278.65119999996</v>
      </c>
      <c r="BU113" s="123"/>
      <c r="BV113" s="126">
        <f t="shared" si="170"/>
        <v>0</v>
      </c>
      <c r="BW113" s="123"/>
      <c r="BX113" s="123">
        <f t="shared" si="171"/>
        <v>0</v>
      </c>
      <c r="BY113" s="123"/>
      <c r="BZ113" s="123">
        <f t="shared" si="172"/>
        <v>0</v>
      </c>
      <c r="CA113" s="123"/>
      <c r="CB113" s="123">
        <f t="shared" si="173"/>
        <v>0</v>
      </c>
      <c r="CC113" s="123"/>
      <c r="CD113" s="123">
        <f t="shared" si="174"/>
        <v>0</v>
      </c>
      <c r="CE113" s="123"/>
      <c r="CF113" s="123">
        <f t="shared" si="175"/>
        <v>0</v>
      </c>
      <c r="CG113" s="132"/>
      <c r="CH113" s="123">
        <f t="shared" si="176"/>
        <v>0</v>
      </c>
      <c r="CI113" s="123"/>
      <c r="CJ113" s="127">
        <f t="shared" si="143"/>
        <v>0</v>
      </c>
      <c r="CK113" s="123"/>
      <c r="CL113" s="123">
        <f t="shared" si="177"/>
        <v>0</v>
      </c>
      <c r="CM113" s="130"/>
      <c r="CN113" s="123">
        <f t="shared" si="178"/>
        <v>0</v>
      </c>
      <c r="CO113" s="123">
        <v>0</v>
      </c>
      <c r="CP113" s="123">
        <v>0</v>
      </c>
      <c r="CQ113" s="123"/>
      <c r="CR113" s="123">
        <f t="shared" si="179"/>
        <v>0</v>
      </c>
      <c r="CS113" s="123"/>
      <c r="CT113" s="133">
        <f t="shared" si="180"/>
        <v>0</v>
      </c>
      <c r="CU113" s="123"/>
      <c r="CV113" s="123">
        <f t="shared" si="181"/>
        <v>0</v>
      </c>
      <c r="CW113" s="126">
        <f t="shared" si="144"/>
        <v>61</v>
      </c>
      <c r="CX113" s="126">
        <f t="shared" si="144"/>
        <v>7347188.8151200004</v>
      </c>
    </row>
    <row r="114" spans="1:102" ht="57.75" customHeight="1" x14ac:dyDescent="0.25">
      <c r="A114" s="91"/>
      <c r="B114" s="116">
        <v>88</v>
      </c>
      <c r="C114" s="201" t="s">
        <v>317</v>
      </c>
      <c r="D114" s="161" t="s">
        <v>318</v>
      </c>
      <c r="E114" s="95">
        <v>28004</v>
      </c>
      <c r="F114" s="96">
        <v>29405</v>
      </c>
      <c r="G114" s="152">
        <v>1.61</v>
      </c>
      <c r="H114" s="107">
        <v>1</v>
      </c>
      <c r="I114" s="108"/>
      <c r="J114" s="108"/>
      <c r="K114" s="108"/>
      <c r="L114" s="63"/>
      <c r="M114" s="120">
        <v>1.4</v>
      </c>
      <c r="N114" s="120">
        <v>1.68</v>
      </c>
      <c r="O114" s="120">
        <v>2.23</v>
      </c>
      <c r="P114" s="121">
        <v>2.57</v>
      </c>
      <c r="Q114" s="122">
        <v>0</v>
      </c>
      <c r="R114" s="123">
        <f t="shared" si="145"/>
        <v>0</v>
      </c>
      <c r="S114" s="124"/>
      <c r="T114" s="125">
        <f t="shared" si="146"/>
        <v>0</v>
      </c>
      <c r="U114" s="123"/>
      <c r="V114" s="123">
        <f t="shared" si="147"/>
        <v>0</v>
      </c>
      <c r="W114" s="123"/>
      <c r="X114" s="126">
        <f t="shared" si="148"/>
        <v>0</v>
      </c>
      <c r="Y114" s="123"/>
      <c r="Z114" s="123">
        <f t="shared" si="149"/>
        <v>0</v>
      </c>
      <c r="AA114" s="123"/>
      <c r="AB114" s="123">
        <f t="shared" si="150"/>
        <v>0</v>
      </c>
      <c r="AC114" s="123"/>
      <c r="AD114" s="123"/>
      <c r="AE114" s="123"/>
      <c r="AF114" s="123">
        <f t="shared" si="151"/>
        <v>0</v>
      </c>
      <c r="AG114" s="123">
        <v>0</v>
      </c>
      <c r="AH114" s="126">
        <f t="shared" si="152"/>
        <v>0</v>
      </c>
      <c r="AI114" s="123"/>
      <c r="AJ114" s="123">
        <f t="shared" si="153"/>
        <v>0</v>
      </c>
      <c r="AK114" s="123"/>
      <c r="AL114" s="123">
        <f>(AK114/12*2*$E114*$G114*$H114*$N114*$AL$11)+(AK114/12*5*$F114*$G114*$H114*$N114*$AL$12)+(AK114/12*5*$F114*$G114*$H114*$N114*$AL$13)</f>
        <v>0</v>
      </c>
      <c r="AM114" s="132"/>
      <c r="AN114" s="123">
        <f t="shared" si="154"/>
        <v>0</v>
      </c>
      <c r="AO114" s="130"/>
      <c r="AP114" s="127">
        <f t="shared" si="155"/>
        <v>0</v>
      </c>
      <c r="AQ114" s="127">
        <v>0</v>
      </c>
      <c r="AR114" s="127">
        <v>0</v>
      </c>
      <c r="AS114" s="123"/>
      <c r="AT114" s="123">
        <f t="shared" si="156"/>
        <v>0</v>
      </c>
      <c r="AU114" s="123"/>
      <c r="AV114" s="126">
        <f t="shared" si="157"/>
        <v>0</v>
      </c>
      <c r="AW114" s="123"/>
      <c r="AX114" s="123">
        <f t="shared" si="158"/>
        <v>0</v>
      </c>
      <c r="AY114" s="123">
        <v>0</v>
      </c>
      <c r="AZ114" s="123">
        <f t="shared" si="159"/>
        <v>0</v>
      </c>
      <c r="BA114" s="123"/>
      <c r="BB114" s="123">
        <f t="shared" si="160"/>
        <v>0</v>
      </c>
      <c r="BC114" s="123"/>
      <c r="BD114" s="126">
        <f t="shared" si="161"/>
        <v>0</v>
      </c>
      <c r="BE114" s="123"/>
      <c r="BF114" s="123">
        <f t="shared" si="162"/>
        <v>0</v>
      </c>
      <c r="BG114" s="123"/>
      <c r="BH114" s="123">
        <f t="shared" si="163"/>
        <v>0</v>
      </c>
      <c r="BI114" s="123">
        <v>27</v>
      </c>
      <c r="BJ114" s="126">
        <f t="shared" si="164"/>
        <v>2556459.5716799996</v>
      </c>
      <c r="BK114" s="123"/>
      <c r="BL114" s="127">
        <f t="shared" si="165"/>
        <v>0</v>
      </c>
      <c r="BM114" s="123"/>
      <c r="BN114" s="123">
        <f t="shared" si="166"/>
        <v>0</v>
      </c>
      <c r="BO114" s="123"/>
      <c r="BP114" s="123">
        <f t="shared" si="167"/>
        <v>0</v>
      </c>
      <c r="BQ114" s="123"/>
      <c r="BR114" s="123">
        <f t="shared" si="168"/>
        <v>0</v>
      </c>
      <c r="BS114" s="123">
        <v>8</v>
      </c>
      <c r="BT114" s="123">
        <f t="shared" si="169"/>
        <v>631224.58559999999</v>
      </c>
      <c r="BU114" s="123"/>
      <c r="BV114" s="126">
        <f t="shared" si="170"/>
        <v>0</v>
      </c>
      <c r="BW114" s="123"/>
      <c r="BX114" s="123">
        <f t="shared" si="171"/>
        <v>0</v>
      </c>
      <c r="BY114" s="123"/>
      <c r="BZ114" s="123">
        <f t="shared" si="172"/>
        <v>0</v>
      </c>
      <c r="CA114" s="123">
        <v>1</v>
      </c>
      <c r="CB114" s="123">
        <f t="shared" si="173"/>
        <v>78903.073199999984</v>
      </c>
      <c r="CC114" s="123"/>
      <c r="CD114" s="123">
        <f t="shared" si="174"/>
        <v>0</v>
      </c>
      <c r="CE114" s="123"/>
      <c r="CF114" s="123">
        <f t="shared" si="175"/>
        <v>0</v>
      </c>
      <c r="CG114" s="132"/>
      <c r="CH114" s="123">
        <f t="shared" si="176"/>
        <v>0</v>
      </c>
      <c r="CI114" s="123"/>
      <c r="CJ114" s="127"/>
      <c r="CK114" s="123"/>
      <c r="CL114" s="123">
        <f t="shared" si="177"/>
        <v>0</v>
      </c>
      <c r="CM114" s="130"/>
      <c r="CN114" s="123">
        <f t="shared" si="178"/>
        <v>0</v>
      </c>
      <c r="CO114" s="123"/>
      <c r="CP114" s="123">
        <f t="shared" ref="CP114:CP116" si="182">(CO114/12*2*$E114*$G114*$H114*$N114*$CP$11)+(CO114/12*10*$F114*$G114*$H114*$N114*$CP$11)</f>
        <v>0</v>
      </c>
      <c r="CQ114" s="123"/>
      <c r="CR114" s="123">
        <f t="shared" si="179"/>
        <v>0</v>
      </c>
      <c r="CS114" s="123"/>
      <c r="CT114" s="133">
        <f t="shared" si="180"/>
        <v>0</v>
      </c>
      <c r="CU114" s="123"/>
      <c r="CV114" s="123">
        <f t="shared" si="181"/>
        <v>0</v>
      </c>
      <c r="CW114" s="126">
        <f t="shared" si="144"/>
        <v>36</v>
      </c>
      <c r="CX114" s="126">
        <f t="shared" si="144"/>
        <v>3266587.2304799994</v>
      </c>
    </row>
    <row r="115" spans="1:102" ht="60" customHeight="1" x14ac:dyDescent="0.25">
      <c r="A115" s="91"/>
      <c r="B115" s="116">
        <v>89</v>
      </c>
      <c r="C115" s="201" t="s">
        <v>319</v>
      </c>
      <c r="D115" s="161" t="s">
        <v>320</v>
      </c>
      <c r="E115" s="95">
        <v>28004</v>
      </c>
      <c r="F115" s="96">
        <v>29405</v>
      </c>
      <c r="G115" s="152">
        <v>2.99</v>
      </c>
      <c r="H115" s="107">
        <v>1</v>
      </c>
      <c r="I115" s="108"/>
      <c r="J115" s="108"/>
      <c r="K115" s="108"/>
      <c r="L115" s="63"/>
      <c r="M115" s="120">
        <v>1.4</v>
      </c>
      <c r="N115" s="120">
        <v>1.68</v>
      </c>
      <c r="O115" s="120">
        <v>2.23</v>
      </c>
      <c r="P115" s="121">
        <v>2.57</v>
      </c>
      <c r="Q115" s="122">
        <v>0</v>
      </c>
      <c r="R115" s="123">
        <f t="shared" si="145"/>
        <v>0</v>
      </c>
      <c r="S115" s="124">
        <v>0</v>
      </c>
      <c r="T115" s="125">
        <f t="shared" si="146"/>
        <v>0</v>
      </c>
      <c r="U115" s="123"/>
      <c r="V115" s="123">
        <f t="shared" si="147"/>
        <v>0</v>
      </c>
      <c r="W115" s="123"/>
      <c r="X115" s="126">
        <f t="shared" si="148"/>
        <v>0</v>
      </c>
      <c r="Y115" s="123"/>
      <c r="Z115" s="123">
        <f t="shared" si="149"/>
        <v>0</v>
      </c>
      <c r="AA115" s="123"/>
      <c r="AB115" s="123">
        <f t="shared" si="150"/>
        <v>0</v>
      </c>
      <c r="AC115" s="123"/>
      <c r="AD115" s="123"/>
      <c r="AE115" s="123"/>
      <c r="AF115" s="123">
        <f t="shared" si="151"/>
        <v>0</v>
      </c>
      <c r="AG115" s="123">
        <v>0</v>
      </c>
      <c r="AH115" s="126">
        <f t="shared" si="152"/>
        <v>0</v>
      </c>
      <c r="AI115" s="123"/>
      <c r="AJ115" s="123">
        <f t="shared" si="153"/>
        <v>0</v>
      </c>
      <c r="AK115" s="123">
        <f>11-8</f>
        <v>3</v>
      </c>
      <c r="AL115" s="123">
        <f t="shared" ref="AL115:AL116" si="183">(AK115/12*2*$E115*$G115*$H115*$N115*$AL$11)+(AK115/12*5*$F115*$G115*$H115*$N115*$AL$12)+(AK115/12*5*$F115*$G115*$H115*$N115*$AL$13)</f>
        <v>567791.00742000015</v>
      </c>
      <c r="AM115" s="132"/>
      <c r="AN115" s="123">
        <f t="shared" si="154"/>
        <v>0</v>
      </c>
      <c r="AO115" s="130"/>
      <c r="AP115" s="127">
        <f t="shared" si="155"/>
        <v>0</v>
      </c>
      <c r="AQ115" s="127">
        <v>0</v>
      </c>
      <c r="AR115" s="127">
        <v>0</v>
      </c>
      <c r="AS115" s="123"/>
      <c r="AT115" s="123">
        <f t="shared" si="156"/>
        <v>0</v>
      </c>
      <c r="AU115" s="123"/>
      <c r="AV115" s="126">
        <f t="shared" si="157"/>
        <v>0</v>
      </c>
      <c r="AW115" s="123">
        <v>1</v>
      </c>
      <c r="AX115" s="123">
        <f t="shared" si="158"/>
        <v>140379.81229999999</v>
      </c>
      <c r="AY115" s="131">
        <v>2</v>
      </c>
      <c r="AZ115" s="123">
        <f t="shared" si="159"/>
        <v>322375.41336000001</v>
      </c>
      <c r="BA115" s="123"/>
      <c r="BB115" s="123">
        <f t="shared" si="160"/>
        <v>0</v>
      </c>
      <c r="BC115" s="123"/>
      <c r="BD115" s="126">
        <f t="shared" si="161"/>
        <v>0</v>
      </c>
      <c r="BE115" s="123"/>
      <c r="BF115" s="123">
        <f t="shared" si="162"/>
        <v>0</v>
      </c>
      <c r="BG115" s="123"/>
      <c r="BH115" s="123">
        <f t="shared" si="163"/>
        <v>0</v>
      </c>
      <c r="BI115" s="123"/>
      <c r="BJ115" s="126">
        <f t="shared" si="164"/>
        <v>0</v>
      </c>
      <c r="BK115" s="123"/>
      <c r="BL115" s="127">
        <f t="shared" si="165"/>
        <v>0</v>
      </c>
      <c r="BM115" s="123"/>
      <c r="BN115" s="123">
        <f t="shared" si="166"/>
        <v>0</v>
      </c>
      <c r="BO115" s="123"/>
      <c r="BP115" s="123">
        <f t="shared" si="167"/>
        <v>0</v>
      </c>
      <c r="BQ115" s="123"/>
      <c r="BR115" s="123">
        <f t="shared" si="168"/>
        <v>0</v>
      </c>
      <c r="BS115" s="123"/>
      <c r="BT115" s="123">
        <f t="shared" si="169"/>
        <v>0</v>
      </c>
      <c r="BU115" s="123"/>
      <c r="BV115" s="126">
        <f t="shared" si="170"/>
        <v>0</v>
      </c>
      <c r="BW115" s="123"/>
      <c r="BX115" s="123">
        <f t="shared" si="171"/>
        <v>0</v>
      </c>
      <c r="BY115" s="123"/>
      <c r="BZ115" s="123">
        <f t="shared" si="172"/>
        <v>0</v>
      </c>
      <c r="CA115" s="123"/>
      <c r="CB115" s="123">
        <f t="shared" si="173"/>
        <v>0</v>
      </c>
      <c r="CC115" s="123"/>
      <c r="CD115" s="123">
        <f t="shared" si="174"/>
        <v>0</v>
      </c>
      <c r="CE115" s="123"/>
      <c r="CF115" s="123">
        <f t="shared" si="175"/>
        <v>0</v>
      </c>
      <c r="CG115" s="132"/>
      <c r="CH115" s="123">
        <f t="shared" si="176"/>
        <v>0</v>
      </c>
      <c r="CI115" s="123"/>
      <c r="CJ115" s="127"/>
      <c r="CK115" s="123">
        <v>1</v>
      </c>
      <c r="CL115" s="123">
        <f t="shared" si="177"/>
        <v>129536.35604</v>
      </c>
      <c r="CM115" s="130"/>
      <c r="CN115" s="123">
        <f t="shared" si="178"/>
        <v>0</v>
      </c>
      <c r="CO115" s="123"/>
      <c r="CP115" s="123">
        <f t="shared" si="182"/>
        <v>0</v>
      </c>
      <c r="CQ115" s="123"/>
      <c r="CR115" s="123">
        <f t="shared" si="179"/>
        <v>0</v>
      </c>
      <c r="CS115" s="123"/>
      <c r="CT115" s="133">
        <f t="shared" si="180"/>
        <v>0</v>
      </c>
      <c r="CU115" s="123"/>
      <c r="CV115" s="123">
        <f t="shared" si="181"/>
        <v>0</v>
      </c>
      <c r="CW115" s="126">
        <f t="shared" si="144"/>
        <v>7</v>
      </c>
      <c r="CX115" s="126">
        <f t="shared" si="144"/>
        <v>1160082.5891200001</v>
      </c>
    </row>
    <row r="116" spans="1:102" ht="65.25" customHeight="1" x14ac:dyDescent="0.25">
      <c r="A116" s="91"/>
      <c r="B116" s="116">
        <v>90</v>
      </c>
      <c r="C116" s="201" t="s">
        <v>321</v>
      </c>
      <c r="D116" s="161" t="s">
        <v>322</v>
      </c>
      <c r="E116" s="95">
        <v>28004</v>
      </c>
      <c r="F116" s="96">
        <v>29405</v>
      </c>
      <c r="G116" s="152">
        <v>3.54</v>
      </c>
      <c r="H116" s="107">
        <v>1</v>
      </c>
      <c r="I116" s="108"/>
      <c r="J116" s="108"/>
      <c r="K116" s="108"/>
      <c r="L116" s="63"/>
      <c r="M116" s="120">
        <v>1.4</v>
      </c>
      <c r="N116" s="120">
        <v>1.68</v>
      </c>
      <c r="O116" s="120">
        <v>2.23</v>
      </c>
      <c r="P116" s="121">
        <v>2.57</v>
      </c>
      <c r="Q116" s="122">
        <v>2</v>
      </c>
      <c r="R116" s="123">
        <f t="shared" si="145"/>
        <v>318062.69879999995</v>
      </c>
      <c r="S116" s="124">
        <v>27</v>
      </c>
      <c r="T116" s="125">
        <f t="shared" si="146"/>
        <v>4293846.4337999998</v>
      </c>
      <c r="U116" s="123"/>
      <c r="V116" s="123">
        <f t="shared" si="147"/>
        <v>0</v>
      </c>
      <c r="W116" s="123"/>
      <c r="X116" s="126">
        <f t="shared" si="148"/>
        <v>0</v>
      </c>
      <c r="Y116" s="123"/>
      <c r="Z116" s="123">
        <f t="shared" si="149"/>
        <v>0</v>
      </c>
      <c r="AA116" s="123"/>
      <c r="AB116" s="123">
        <f t="shared" si="150"/>
        <v>0</v>
      </c>
      <c r="AC116" s="123"/>
      <c r="AD116" s="123"/>
      <c r="AE116" s="123">
        <v>5</v>
      </c>
      <c r="AF116" s="127">
        <f t="shared" si="151"/>
        <v>795156.74700000009</v>
      </c>
      <c r="AG116" s="123">
        <v>1</v>
      </c>
      <c r="AH116" s="126">
        <f t="shared" si="152"/>
        <v>159031.34939999998</v>
      </c>
      <c r="AI116" s="130"/>
      <c r="AJ116" s="123">
        <f t="shared" si="153"/>
        <v>0</v>
      </c>
      <c r="AK116" s="123">
        <v>4</v>
      </c>
      <c r="AL116" s="123">
        <f t="shared" si="183"/>
        <v>896312.22575999983</v>
      </c>
      <c r="AM116" s="132"/>
      <c r="AN116" s="123">
        <f t="shared" si="154"/>
        <v>0</v>
      </c>
      <c r="AO116" s="130"/>
      <c r="AP116" s="127">
        <f t="shared" si="155"/>
        <v>0</v>
      </c>
      <c r="AQ116" s="127">
        <v>0</v>
      </c>
      <c r="AR116" s="127">
        <v>0</v>
      </c>
      <c r="AS116" s="123"/>
      <c r="AT116" s="123">
        <f t="shared" si="156"/>
        <v>0</v>
      </c>
      <c r="AU116" s="123"/>
      <c r="AV116" s="126">
        <f t="shared" si="157"/>
        <v>0</v>
      </c>
      <c r="AW116" s="123"/>
      <c r="AX116" s="123">
        <f t="shared" si="158"/>
        <v>0</v>
      </c>
      <c r="AY116" s="131"/>
      <c r="AZ116" s="123">
        <f t="shared" si="159"/>
        <v>0</v>
      </c>
      <c r="BA116" s="123"/>
      <c r="BB116" s="123">
        <f t="shared" si="160"/>
        <v>0</v>
      </c>
      <c r="BC116" s="123"/>
      <c r="BD116" s="126">
        <f t="shared" si="161"/>
        <v>0</v>
      </c>
      <c r="BE116" s="123">
        <v>15</v>
      </c>
      <c r="BF116" s="123">
        <f t="shared" si="162"/>
        <v>2185967.6999999997</v>
      </c>
      <c r="BG116" s="123"/>
      <c r="BH116" s="123">
        <f t="shared" si="163"/>
        <v>0</v>
      </c>
      <c r="BI116" s="123"/>
      <c r="BJ116" s="126">
        <f t="shared" si="164"/>
        <v>0</v>
      </c>
      <c r="BK116" s="123">
        <v>16</v>
      </c>
      <c r="BL116" s="127">
        <f t="shared" si="165"/>
        <v>3330983.9001599988</v>
      </c>
      <c r="BM116" s="123"/>
      <c r="BN116" s="123">
        <f t="shared" si="166"/>
        <v>0</v>
      </c>
      <c r="BO116" s="123"/>
      <c r="BP116" s="123">
        <f t="shared" si="167"/>
        <v>0</v>
      </c>
      <c r="BQ116" s="123"/>
      <c r="BR116" s="123">
        <f t="shared" si="168"/>
        <v>0</v>
      </c>
      <c r="BS116" s="123"/>
      <c r="BT116" s="123">
        <f t="shared" si="169"/>
        <v>0</v>
      </c>
      <c r="BU116" s="123"/>
      <c r="BV116" s="126">
        <f t="shared" si="170"/>
        <v>0</v>
      </c>
      <c r="BW116" s="123"/>
      <c r="BX116" s="123">
        <f t="shared" si="171"/>
        <v>0</v>
      </c>
      <c r="BY116" s="123"/>
      <c r="BZ116" s="123">
        <f t="shared" si="172"/>
        <v>0</v>
      </c>
      <c r="CA116" s="123"/>
      <c r="CB116" s="123">
        <f t="shared" si="173"/>
        <v>0</v>
      </c>
      <c r="CC116" s="123"/>
      <c r="CD116" s="123">
        <f t="shared" si="174"/>
        <v>0</v>
      </c>
      <c r="CE116" s="123"/>
      <c r="CF116" s="123">
        <f t="shared" si="175"/>
        <v>0</v>
      </c>
      <c r="CG116" s="132"/>
      <c r="CH116" s="123">
        <f t="shared" si="176"/>
        <v>0</v>
      </c>
      <c r="CI116" s="123"/>
      <c r="CJ116" s="127"/>
      <c r="CK116" s="123"/>
      <c r="CL116" s="123">
        <f t="shared" si="177"/>
        <v>0</v>
      </c>
      <c r="CM116" s="130"/>
      <c r="CN116" s="123">
        <f t="shared" si="178"/>
        <v>0</v>
      </c>
      <c r="CO116" s="123"/>
      <c r="CP116" s="123">
        <f t="shared" si="182"/>
        <v>0</v>
      </c>
      <c r="CQ116" s="123"/>
      <c r="CR116" s="123">
        <f t="shared" si="179"/>
        <v>0</v>
      </c>
      <c r="CS116" s="123"/>
      <c r="CT116" s="133">
        <f t="shared" si="180"/>
        <v>0</v>
      </c>
      <c r="CU116" s="123"/>
      <c r="CV116" s="123">
        <f t="shared" si="181"/>
        <v>0</v>
      </c>
      <c r="CW116" s="126">
        <f t="shared" si="144"/>
        <v>70</v>
      </c>
      <c r="CX116" s="126">
        <f t="shared" si="144"/>
        <v>11979361.054919999</v>
      </c>
    </row>
    <row r="117" spans="1:102" ht="15.75" customHeight="1" x14ac:dyDescent="0.25">
      <c r="A117" s="109">
        <v>14</v>
      </c>
      <c r="B117" s="150"/>
      <c r="C117" s="93" t="s">
        <v>323</v>
      </c>
      <c r="D117" s="164" t="s">
        <v>324</v>
      </c>
      <c r="E117" s="95">
        <v>28004</v>
      </c>
      <c r="F117" s="96">
        <v>29405</v>
      </c>
      <c r="G117" s="151">
        <v>1.36</v>
      </c>
      <c r="H117" s="166"/>
      <c r="I117" s="108"/>
      <c r="J117" s="108"/>
      <c r="K117" s="108"/>
      <c r="L117" s="111"/>
      <c r="M117" s="112">
        <v>1.4</v>
      </c>
      <c r="N117" s="112">
        <v>1.68</v>
      </c>
      <c r="O117" s="112">
        <v>2.23</v>
      </c>
      <c r="P117" s="113">
        <v>2.57</v>
      </c>
      <c r="Q117" s="103">
        <f>SUM(Q118:Q121)</f>
        <v>983</v>
      </c>
      <c r="R117" s="104">
        <f>SUM(R118:R121)</f>
        <v>59016088.005483963</v>
      </c>
      <c r="S117" s="114">
        <f t="shared" ref="S117:CD117" si="184">SUM(S118:S121)</f>
        <v>18</v>
      </c>
      <c r="T117" s="115">
        <f t="shared" si="184"/>
        <v>1407023.1252000001</v>
      </c>
      <c r="U117" s="104">
        <f t="shared" si="184"/>
        <v>108</v>
      </c>
      <c r="V117" s="104">
        <f t="shared" si="184"/>
        <v>8485595.2982499991</v>
      </c>
      <c r="W117" s="104">
        <f t="shared" si="184"/>
        <v>0</v>
      </c>
      <c r="X117" s="104">
        <f t="shared" si="184"/>
        <v>0</v>
      </c>
      <c r="Y117" s="104">
        <f t="shared" si="184"/>
        <v>14</v>
      </c>
      <c r="Z117" s="104">
        <f t="shared" si="184"/>
        <v>1580798.7558999998</v>
      </c>
      <c r="AA117" s="104">
        <f t="shared" si="184"/>
        <v>0</v>
      </c>
      <c r="AB117" s="104">
        <f t="shared" si="184"/>
        <v>0</v>
      </c>
      <c r="AC117" s="104">
        <f t="shared" si="184"/>
        <v>0</v>
      </c>
      <c r="AD117" s="104">
        <f t="shared" si="184"/>
        <v>0</v>
      </c>
      <c r="AE117" s="104">
        <f t="shared" si="184"/>
        <v>70</v>
      </c>
      <c r="AF117" s="105">
        <f t="shared" si="184"/>
        <v>3936577.2389999991</v>
      </c>
      <c r="AG117" s="104">
        <f t="shared" si="184"/>
        <v>197</v>
      </c>
      <c r="AH117" s="104">
        <f t="shared" si="184"/>
        <v>15399086.425800003</v>
      </c>
      <c r="AI117" s="106">
        <f t="shared" si="184"/>
        <v>171</v>
      </c>
      <c r="AJ117" s="104">
        <f t="shared" si="184"/>
        <v>12749410.160899999</v>
      </c>
      <c r="AK117" s="104">
        <f t="shared" si="184"/>
        <v>160</v>
      </c>
      <c r="AL117" s="104">
        <f t="shared" si="184"/>
        <v>12863256.244439999</v>
      </c>
      <c r="AM117" s="104">
        <f t="shared" si="184"/>
        <v>72</v>
      </c>
      <c r="AN117" s="104">
        <f t="shared" si="184"/>
        <v>8628992.1278399993</v>
      </c>
      <c r="AO117" s="106">
        <f t="shared" si="184"/>
        <v>8</v>
      </c>
      <c r="AP117" s="104">
        <f t="shared" si="184"/>
        <v>487238.72904000001</v>
      </c>
      <c r="AQ117" s="104">
        <v>19</v>
      </c>
      <c r="AR117" s="104">
        <v>1414115.82</v>
      </c>
      <c r="AS117" s="104">
        <f t="shared" si="184"/>
        <v>0</v>
      </c>
      <c r="AT117" s="104">
        <f t="shared" si="184"/>
        <v>0</v>
      </c>
      <c r="AU117" s="104">
        <f t="shared" si="184"/>
        <v>0</v>
      </c>
      <c r="AV117" s="104">
        <f t="shared" si="184"/>
        <v>0</v>
      </c>
      <c r="AW117" s="104">
        <f t="shared" si="184"/>
        <v>11</v>
      </c>
      <c r="AX117" s="104">
        <f t="shared" si="184"/>
        <v>756457.85039999988</v>
      </c>
      <c r="AY117" s="104">
        <f t="shared" si="184"/>
        <v>85</v>
      </c>
      <c r="AZ117" s="104">
        <f t="shared" si="184"/>
        <v>5762472.7658400005</v>
      </c>
      <c r="BA117" s="104">
        <f t="shared" si="184"/>
        <v>0</v>
      </c>
      <c r="BB117" s="104">
        <f t="shared" si="184"/>
        <v>0</v>
      </c>
      <c r="BC117" s="104">
        <f t="shared" si="184"/>
        <v>0</v>
      </c>
      <c r="BD117" s="104">
        <f t="shared" si="184"/>
        <v>0</v>
      </c>
      <c r="BE117" s="104">
        <f t="shared" si="184"/>
        <v>22</v>
      </c>
      <c r="BF117" s="104">
        <f t="shared" si="184"/>
        <v>1267120.26</v>
      </c>
      <c r="BG117" s="104">
        <f t="shared" si="184"/>
        <v>0</v>
      </c>
      <c r="BH117" s="104">
        <f t="shared" si="184"/>
        <v>0</v>
      </c>
      <c r="BI117" s="104">
        <f t="shared" si="184"/>
        <v>5</v>
      </c>
      <c r="BJ117" s="104">
        <f t="shared" si="184"/>
        <v>328158.37151999993</v>
      </c>
      <c r="BK117" s="104">
        <f t="shared" si="184"/>
        <v>38</v>
      </c>
      <c r="BL117" s="104">
        <f t="shared" si="184"/>
        <v>2359446.9292799998</v>
      </c>
      <c r="BM117" s="104">
        <f t="shared" si="184"/>
        <v>0</v>
      </c>
      <c r="BN117" s="104">
        <f t="shared" si="184"/>
        <v>0</v>
      </c>
      <c r="BO117" s="104">
        <f t="shared" si="184"/>
        <v>0</v>
      </c>
      <c r="BP117" s="104">
        <f t="shared" si="184"/>
        <v>0</v>
      </c>
      <c r="BQ117" s="104">
        <f t="shared" si="184"/>
        <v>150</v>
      </c>
      <c r="BR117" s="104">
        <f t="shared" si="184"/>
        <v>9299290.7699999977</v>
      </c>
      <c r="BS117" s="104">
        <f t="shared" si="184"/>
        <v>11</v>
      </c>
      <c r="BT117" s="104">
        <f t="shared" si="184"/>
        <v>893908.10880000005</v>
      </c>
      <c r="BU117" s="104">
        <f t="shared" si="184"/>
        <v>0</v>
      </c>
      <c r="BV117" s="104">
        <f t="shared" si="184"/>
        <v>0</v>
      </c>
      <c r="BW117" s="104">
        <f t="shared" si="184"/>
        <v>0</v>
      </c>
      <c r="BX117" s="104">
        <f t="shared" si="184"/>
        <v>0</v>
      </c>
      <c r="BY117" s="104">
        <f t="shared" si="184"/>
        <v>18</v>
      </c>
      <c r="BZ117" s="104">
        <f t="shared" si="184"/>
        <v>1058575.392</v>
      </c>
      <c r="CA117" s="104">
        <f>SUM(CA118:CA121)</f>
        <v>36</v>
      </c>
      <c r="CB117" s="104">
        <f t="shared" si="184"/>
        <v>2152436.6304000001</v>
      </c>
      <c r="CC117" s="104">
        <f t="shared" si="184"/>
        <v>3</v>
      </c>
      <c r="CD117" s="104">
        <f t="shared" si="184"/>
        <v>213185.32199999999</v>
      </c>
      <c r="CE117" s="104">
        <f t="shared" ref="CE117:CX117" si="185">SUM(CE118:CE121)</f>
        <v>11</v>
      </c>
      <c r="CF117" s="104">
        <f t="shared" si="185"/>
        <v>417433.38</v>
      </c>
      <c r="CG117" s="104">
        <f t="shared" si="185"/>
        <v>0</v>
      </c>
      <c r="CH117" s="104">
        <f t="shared" si="185"/>
        <v>0</v>
      </c>
      <c r="CI117" s="104">
        <f t="shared" si="185"/>
        <v>0</v>
      </c>
      <c r="CJ117" s="104">
        <f t="shared" si="185"/>
        <v>0</v>
      </c>
      <c r="CK117" s="104">
        <f t="shared" si="185"/>
        <v>0</v>
      </c>
      <c r="CL117" s="104">
        <f t="shared" si="185"/>
        <v>0</v>
      </c>
      <c r="CM117" s="104">
        <f t="shared" si="185"/>
        <v>0</v>
      </c>
      <c r="CN117" s="104">
        <f t="shared" si="185"/>
        <v>0</v>
      </c>
      <c r="CO117" s="104">
        <f t="shared" si="185"/>
        <v>0</v>
      </c>
      <c r="CP117" s="104">
        <f t="shared" si="185"/>
        <v>0</v>
      </c>
      <c r="CQ117" s="104">
        <f t="shared" si="185"/>
        <v>0</v>
      </c>
      <c r="CR117" s="104">
        <f t="shared" si="185"/>
        <v>0</v>
      </c>
      <c r="CS117" s="104">
        <f t="shared" si="185"/>
        <v>2</v>
      </c>
      <c r="CT117" s="104">
        <f t="shared" si="185"/>
        <v>193424.54789999995</v>
      </c>
      <c r="CU117" s="104">
        <f t="shared" si="185"/>
        <v>0</v>
      </c>
      <c r="CV117" s="104">
        <f t="shared" si="185"/>
        <v>0</v>
      </c>
      <c r="CW117" s="104">
        <f t="shared" si="185"/>
        <v>2212</v>
      </c>
      <c r="CX117" s="104">
        <f t="shared" si="185"/>
        <v>150670092.25999397</v>
      </c>
    </row>
    <row r="118" spans="1:102" ht="30" customHeight="1" x14ac:dyDescent="0.25">
      <c r="A118" s="91"/>
      <c r="B118" s="116">
        <v>91</v>
      </c>
      <c r="C118" s="117" t="s">
        <v>325</v>
      </c>
      <c r="D118" s="161" t="s">
        <v>326</v>
      </c>
      <c r="E118" s="95">
        <v>28004</v>
      </c>
      <c r="F118" s="96">
        <v>29405</v>
      </c>
      <c r="G118" s="119">
        <v>0.84</v>
      </c>
      <c r="H118" s="107">
        <v>1</v>
      </c>
      <c r="I118" s="108"/>
      <c r="J118" s="108"/>
      <c r="K118" s="108"/>
      <c r="L118" s="63"/>
      <c r="M118" s="120">
        <v>1.4</v>
      </c>
      <c r="N118" s="120">
        <v>1.68</v>
      </c>
      <c r="O118" s="120">
        <v>2.23</v>
      </c>
      <c r="P118" s="121">
        <v>2.57</v>
      </c>
      <c r="Q118" s="122">
        <v>411</v>
      </c>
      <c r="R118" s="123">
        <f>(Q118/12*2*$E118*$G118*$H118*$M118)+(Q118/12*10*$F118*$G118*$H118*$M118)</f>
        <v>14099636.123999998</v>
      </c>
      <c r="S118" s="124"/>
      <c r="T118" s="125">
        <f>(S118/12*2*$E118*$G118*$H118*$M118)+(S118/12*10*$F118*$G118*$H118*$M118)</f>
        <v>0</v>
      </c>
      <c r="U118" s="123">
        <v>33</v>
      </c>
      <c r="V118" s="123">
        <f>(U118/12*2*$E118*$G118*$H118*$M118)+(U118/12*10*$F118*$G118*$H118*$M118)</f>
        <v>1132087.5719999999</v>
      </c>
      <c r="W118" s="123"/>
      <c r="X118" s="123">
        <f>(W118/12*2*$E118*$G118*$H118*$M118)+(W118/12*10*$F118*$G118*$H118*$M118)</f>
        <v>0</v>
      </c>
      <c r="Y118" s="123"/>
      <c r="Z118" s="123">
        <f>(Y118/12*2*$E118*$G118*$H118*$M118)+(Y118/12*10*$F118*$G118*$H118*$M118)</f>
        <v>0</v>
      </c>
      <c r="AA118" s="123"/>
      <c r="AB118" s="123">
        <f>(AA118/12*2*$E118*$G118*$H118*$M118)+(AA118/12*10*$F118*$G118*$H118*$M118)</f>
        <v>0</v>
      </c>
      <c r="AC118" s="123"/>
      <c r="AD118" s="123"/>
      <c r="AE118" s="123">
        <v>35</v>
      </c>
      <c r="AF118" s="123">
        <f>(AE118/12*2*$E118*$G118*$H118*$M118)+(AE118/12*10*$F118*$G118*$H118*$M118)</f>
        <v>1200698.9399999997</v>
      </c>
      <c r="AG118" s="135">
        <v>0</v>
      </c>
      <c r="AH118" s="135">
        <f>(AG118/12*2*$E118*$G118*$H118*$M118)+(AG118/12*10*$F118*$G118*$H118*$M118)</f>
        <v>0</v>
      </c>
      <c r="AI118" s="123">
        <v>54</v>
      </c>
      <c r="AJ118" s="123">
        <f>(AI118/12*2*$E118*$G118*$H118*$M118)+(AI118/12*10*$F118*$G118*$H118*$M118)</f>
        <v>1852506.9359999998</v>
      </c>
      <c r="AK118" s="123">
        <f>80-11</f>
        <v>69</v>
      </c>
      <c r="AL118" s="126">
        <f>(AK118/12*2*$E118*$G118*$H118*$N118)+(AK118/12*10*$F118*$G118*$H118*$N118)</f>
        <v>2840510.6351999999</v>
      </c>
      <c r="AM118" s="132"/>
      <c r="AN118" s="123">
        <f>(AM118/12*2*$E118*$G118*$H118*$N118)+(AM118/12*10*$F118*$G118*$H118*$N118)</f>
        <v>0</v>
      </c>
      <c r="AO118" s="130">
        <v>5</v>
      </c>
      <c r="AP118" s="123">
        <f>(AO118/12*2*$E118*$G118*$H118*$N118)+(AO118/12*10*$F118*$G118*$H118*$N118)</f>
        <v>205834.10399999999</v>
      </c>
      <c r="AQ118" s="123">
        <v>7</v>
      </c>
      <c r="AR118" s="123">
        <v>288497.27999999997</v>
      </c>
      <c r="AS118" s="123"/>
      <c r="AT118" s="123"/>
      <c r="AU118" s="123"/>
      <c r="AV118" s="123"/>
      <c r="AW118" s="123">
        <v>3</v>
      </c>
      <c r="AX118" s="123">
        <f>(AW118/12*2*$E118*$G118*$H118*$M118)+(AW118/12*10*$F118*$G118*$H118*$M118)</f>
        <v>102917.052</v>
      </c>
      <c r="AY118" s="123">
        <v>42</v>
      </c>
      <c r="AZ118" s="123">
        <f>(AY118/12*2*$E118*$G118*$H118*$N118)+(AY118/12*10*$F118*$G118*$H118*$N118)</f>
        <v>1729006.4735999999</v>
      </c>
      <c r="BA118" s="123"/>
      <c r="BB118" s="123">
        <f>(BA118/12*2*$E118*$G118*$H118*$N118)+(BA118/12*10*$F118*$G118*$H118*$N118)</f>
        <v>0</v>
      </c>
      <c r="BC118" s="123"/>
      <c r="BD118" s="123">
        <f>(BC118/12*2*$E118*$G118*$H118*$N118)+(BC118/12*10*$F118*$G118*$H118*$N118)</f>
        <v>0</v>
      </c>
      <c r="BE118" s="123">
        <v>10</v>
      </c>
      <c r="BF118" s="123">
        <f>(BE118/12*10*$F118*$G118*$H118*$N118)</f>
        <v>345802.8</v>
      </c>
      <c r="BG118" s="123"/>
      <c r="BH118" s="123">
        <f>(BG118/12*2*$E118*$G118*$H118*$N118)+(BG118/12*10*$F118*$G118*$H118*$N118)</f>
        <v>0</v>
      </c>
      <c r="BI118" s="123">
        <v>3</v>
      </c>
      <c r="BJ118" s="123">
        <f>(BI118/12*2*$E118*$G118*$H118*$N118)+(BI118/12*10*$F118*$G118*$H118*$N118)</f>
        <v>123500.46239999999</v>
      </c>
      <c r="BK118" s="123">
        <v>25</v>
      </c>
      <c r="BL118" s="123">
        <f>(BK118/12*2*$E118*$G118*$H118*$N118)+(BK118/12*10*$F118*$G118*$H118*$N118)</f>
        <v>1029170.5200000001</v>
      </c>
      <c r="BM118" s="123"/>
      <c r="BN118" s="123">
        <f>(BM118/12*2*$E118*$G118*$H118*$M118)+(BM118/12*10*$F118*$G118*$H118*$M118)</f>
        <v>0</v>
      </c>
      <c r="BO118" s="123"/>
      <c r="BP118" s="123">
        <f>(BO118/12*2*$E118*$G118*$H118*$M118)+(BO118/12*10*$F118*$G118*$H118*$M118)</f>
        <v>0</v>
      </c>
      <c r="BQ118" s="123">
        <v>37</v>
      </c>
      <c r="BR118" s="123">
        <f>(BQ118/12*2*$E118*$G118*$H118*$M118)+(BQ118/12*10*$F118*$G118*$H118*$M118)</f>
        <v>1269310.308</v>
      </c>
      <c r="BS118" s="123">
        <v>1</v>
      </c>
      <c r="BT118" s="123">
        <f>(BS118/12*2*$E118*$G118*$H118*$N118)+(BS118/12*10*$F118*$G118*$H118*$N118)</f>
        <v>41166.820799999987</v>
      </c>
      <c r="BU118" s="123"/>
      <c r="BV118" s="123">
        <f>(BU118/12*2*$E118*$G118*$H118*$M118)+(BU118/12*10*$F118*$G118*$H118*$M118)</f>
        <v>0</v>
      </c>
      <c r="BW118" s="123"/>
      <c r="BX118" s="123">
        <f>(BW118/12*2*$E118*$G118*$H118*$M118)+(BW118/12*10*$F118*$G118*$H118*$M118)</f>
        <v>0</v>
      </c>
      <c r="BY118" s="123">
        <v>6</v>
      </c>
      <c r="BZ118" s="123">
        <f>(BY118/12*2*$E118*$G118*$H118*$M118)+(BY118/12*10*$F118*$G118*$H118*$M118)</f>
        <v>205834.10399999999</v>
      </c>
      <c r="CA118" s="123">
        <v>18</v>
      </c>
      <c r="CB118" s="123">
        <f>(CA118/12*2*$E118*$G118*$H118*$M118)+(CA118/12*10*$F118*$G118*$H118*$M118)</f>
        <v>617502.31199999992</v>
      </c>
      <c r="CC118" s="123"/>
      <c r="CD118" s="123">
        <f>(CC118/12*2*$E118*$G118*$H118*$M118)+(CC118/12*10*$F118*$G118*$H118*$M118)</f>
        <v>0</v>
      </c>
      <c r="CE118" s="123">
        <v>10</v>
      </c>
      <c r="CF118" s="123">
        <f>(CE118/12*10*$F118*$G118*$H118*$N118)</f>
        <v>345802.8</v>
      </c>
      <c r="CG118" s="132"/>
      <c r="CH118" s="123">
        <f>(CG118/12*2*$E118*$G118*$H118*$N118)+(CG118/12*10*$F118*$G118*$H118*$N118)</f>
        <v>0</v>
      </c>
      <c r="CI118" s="123"/>
      <c r="CJ118" s="127">
        <f>(CI118*$E118*$G118*$H118*$N118)</f>
        <v>0</v>
      </c>
      <c r="CK118" s="123"/>
      <c r="CL118" s="123">
        <f>(CK118/12*2*$E118*$G118*$H118*$N118)+(CK118/12*10*$F118*$G118*$H118*$N118)</f>
        <v>0</v>
      </c>
      <c r="CM118" s="130"/>
      <c r="CN118" s="123">
        <f>(CM118/12*2*$E118*$G118*$H118*$N118)+(CM118/12*10*$F118*$G118*$H118*$N118)</f>
        <v>0</v>
      </c>
      <c r="CO118" s="123"/>
      <c r="CP118" s="123">
        <f>(CO118/12*2*$E118*$G118*$H118*$N118)+(CO118/12*10*$F118*$G118*$H118*$N118)</f>
        <v>0</v>
      </c>
      <c r="CQ118" s="123"/>
      <c r="CR118" s="123">
        <f>(CQ118/12*2*$E118*$G118*$H118*$O118)+(CQ118/12*10*$F118*$G118*$H118*$O118)</f>
        <v>0</v>
      </c>
      <c r="CS118" s="123">
        <v>1</v>
      </c>
      <c r="CT118" s="127">
        <f>(CS118/12*2*$E118*$G118*$H118*$P118)+(CS118/12*10*$F118*$G118*$H118*$P118)</f>
        <v>62975.434199999989</v>
      </c>
      <c r="CU118" s="127"/>
      <c r="CV118" s="127"/>
      <c r="CW118" s="126">
        <f>SUM(Q118,S118,U118,W118,Y118,AA118,AC118,AE118,AG118,AM118,BQ118,AI118,AU118,CC118,AW118,AY118,AK118,BC118,AO118,AQ118,BE118,CE118,BG118,BI118,BK118,BS118,BM118,BO118,BU118,BW118,BY118,CA118,CG118,BA118,AS118,CI118,CK118,CM118,CO118,CQ118,CS118,CU118)</f>
        <v>770</v>
      </c>
      <c r="CX118" s="126">
        <f>SUM(R118,T118,V118,X118,Z118,AB118,AD118,AF118,AH118,AN118,BR118,AJ118,AV118,CD118,AX118,AZ118,AL118,BD118,AP118,AR118,BF118,CF118,BH118,BJ118,BL118,BT118,BN118,BP118,BV118,BX118,BZ118,CB118,CH118,BB118,AT118,CJ118,CL118,CN118,CP118,CR118,CT118,CV118)</f>
        <v>27492760.678199999</v>
      </c>
    </row>
    <row r="119" spans="1:102" ht="30" customHeight="1" x14ac:dyDescent="0.25">
      <c r="A119" s="91"/>
      <c r="B119" s="116">
        <v>92</v>
      </c>
      <c r="C119" s="117" t="s">
        <v>327</v>
      </c>
      <c r="D119" s="161" t="s">
        <v>328</v>
      </c>
      <c r="E119" s="95">
        <v>28004</v>
      </c>
      <c r="F119" s="96">
        <v>29405</v>
      </c>
      <c r="G119" s="119">
        <v>1.74</v>
      </c>
      <c r="H119" s="107">
        <v>1</v>
      </c>
      <c r="I119" s="108"/>
      <c r="J119" s="108"/>
      <c r="K119" s="108"/>
      <c r="L119" s="63"/>
      <c r="M119" s="120">
        <v>1.4</v>
      </c>
      <c r="N119" s="120">
        <v>1.68</v>
      </c>
      <c r="O119" s="120">
        <v>2.23</v>
      </c>
      <c r="P119" s="121">
        <v>2.57</v>
      </c>
      <c r="Q119" s="122">
        <v>570</v>
      </c>
      <c r="R119" s="123">
        <f>(Q119/12*2*$E119*$G119*$H119*$M119*$R$11)+(Q119/12*10*$F119*$G119*$H119*$M119*$R$11)</f>
        <v>44555732.298000008</v>
      </c>
      <c r="S119" s="124">
        <v>18</v>
      </c>
      <c r="T119" s="125">
        <f>(S119/12*2*$E119*$G119*$H119*$M119*$R$11)+(S119/12*10*$F119*$G119*$H119*$M119*$R$11)</f>
        <v>1407023.1252000001</v>
      </c>
      <c r="U119" s="123">
        <v>70</v>
      </c>
      <c r="V119" s="123">
        <f>(U119/12*2*$E119*$G119*$H119*$M119*$V$11)+(U119/12*10*$F119*$G119*$H119*$M119*$V$12)</f>
        <v>6671562.3169999989</v>
      </c>
      <c r="W119" s="123"/>
      <c r="X119" s="126">
        <f>(W119/12*2*$E119*$G119*$H119*$M119*$X$11)+(W119/12*10*$F119*$G119*$H119*$M119*$X$12)</f>
        <v>0</v>
      </c>
      <c r="Y119" s="123">
        <v>8</v>
      </c>
      <c r="Z119" s="123">
        <f>(Y119/12*2*$E119*$G119*$H119*$M119*$Z$11)+(Y119/12*10*$F119*$G119*$H119*$M119*$Z$12)</f>
        <v>762464.26479999989</v>
      </c>
      <c r="AA119" s="123"/>
      <c r="AB119" s="123">
        <f>(AA119/12*2*$E119*$G119*$H119*$M119*$AB$11)+(AA119/12*10*$F119*$G119*$H119*$M119*$AB$11)</f>
        <v>0</v>
      </c>
      <c r="AC119" s="123"/>
      <c r="AD119" s="123"/>
      <c r="AE119" s="123">
        <v>35</v>
      </c>
      <c r="AF119" s="127">
        <f>(AE119/12*2*$E119*$G119*$H119*$M119*$AF$11)+(AE119/12*10*$F119*$G119*$H119*$M119*$AF$11)</f>
        <v>2735878.2989999996</v>
      </c>
      <c r="AG119" s="123">
        <f>207-10</f>
        <v>197</v>
      </c>
      <c r="AH119" s="126">
        <f>(AG119/12*2*$E119*$G119*$H119*$M119*$AH$11)+(AG119/12*10*$F119*$G119*$H119*$M119*$AH$11)</f>
        <v>15399086.425800003</v>
      </c>
      <c r="AI119" s="130">
        <v>113</v>
      </c>
      <c r="AJ119" s="123">
        <f t="shared" ref="AJ119:AJ120" si="186">(AI119/12*2*$E119*$G119*$H119*$M119*$AJ$11)+(AI119/12*5*$F119*$G119*$H119*$M119*$AJ$12)+(AI119/12*5*$F119*$G119*$H119*$M119*$AJ$13)</f>
        <v>10371522.471099999</v>
      </c>
      <c r="AK119" s="123">
        <f>80+11</f>
        <v>91</v>
      </c>
      <c r="AL119" s="123">
        <f>(AK119/12*2*$E119*$G119*$H119*$N119*$AL$11)+(AK119/12*5*$F119*$G119*$H119*$N119*$AL$12)+(AK119/12*5*$F119*$G119*$H119*$N119*$AL$13)</f>
        <v>10022745.609239999</v>
      </c>
      <c r="AM119" s="132">
        <v>64</v>
      </c>
      <c r="AN119" s="123">
        <f>(AM119/12*2*$E119*$G119*$H119*$N119*$AN$11)+(AM119/12*10*$F119*$G119*$H119*$N119*$AN$12)</f>
        <v>7319656.9420799995</v>
      </c>
      <c r="AO119" s="130">
        <v>3</v>
      </c>
      <c r="AP119" s="127">
        <f>(AO119/12*2*$E119*$G119*$H119*$N119*$AP$11)+(AO119/12*10*$F119*$G119*$H119*$N119*$AP$11)</f>
        <v>281404.62504000001</v>
      </c>
      <c r="AQ119" s="127">
        <v>12</v>
      </c>
      <c r="AR119" s="127">
        <v>1125618.54</v>
      </c>
      <c r="AS119" s="123"/>
      <c r="AT119" s="123">
        <f>(AS119/12*2*$E119*$G119*$H119*$M119*$AT$11)+(AS119/12*10*$F119*$G119*$H119*$M119*$AT$11)</f>
        <v>0</v>
      </c>
      <c r="AU119" s="123"/>
      <c r="AV119" s="126">
        <f>(AU119/12*2*$E119*$G119*$H119*$M119*$AV$11)+(AU119/12*10*$F119*$G119*$H119*$M119*$AV$12)</f>
        <v>0</v>
      </c>
      <c r="AW119" s="123">
        <v>8</v>
      </c>
      <c r="AX119" s="123">
        <f>(AW119/12*2*$E119*$G119*$H119*$M119*$AX$11)+(AW119/12*10*$F119*$G119*$H119*$M119*$AX$12)</f>
        <v>653540.79839999985</v>
      </c>
      <c r="AY119" s="131">
        <v>43</v>
      </c>
      <c r="AZ119" s="123">
        <f>(AY119/12*2*$E119*$G119*$H119*$N119*$AZ$11)+(AY119/12*10*$F119*$G119*$H119*$N119*$AZ$11)</f>
        <v>4033466.2922400008</v>
      </c>
      <c r="BA119" s="123"/>
      <c r="BB119" s="123">
        <f>(BA119/12*2*$E119*$G119*$H119*$N119*$BB$11)+(BA119/12*10*$F119*$G119*$H119*$N119*$BB$12)</f>
        <v>0</v>
      </c>
      <c r="BC119" s="123"/>
      <c r="BD119" s="126">
        <f>(BC119/12*2*$E119*$G119*$H119*$N119*$BD$11)+(BC119/12*10*$F119*$G119*$H119*$N119*$BD$12)</f>
        <v>0</v>
      </c>
      <c r="BE119" s="123">
        <v>10</v>
      </c>
      <c r="BF119" s="123">
        <f>(BE119/12*10*$F119*$G119*$H119*$N119*$BF$12)</f>
        <v>716305.8</v>
      </c>
      <c r="BG119" s="123"/>
      <c r="BH119" s="123">
        <f>(BG119/12*2*$E119*$G119*$H119*$N119*$BH$11)+(BG119/12*10*$F119*$G119*$H119*$N119*$BH$11)</f>
        <v>0</v>
      </c>
      <c r="BI119" s="123">
        <v>2</v>
      </c>
      <c r="BJ119" s="126">
        <f>(BI119/12*2*$E119*$G119*$H119*$N119*$BJ$11)+(BI119/12*10*$F119*$G119*$H119*$N119*$BJ$11)</f>
        <v>204657.90911999997</v>
      </c>
      <c r="BK119" s="123">
        <v>13</v>
      </c>
      <c r="BL119" s="127">
        <f>(BK119/12*2*$E119*$G119*$H119*$N119*$BL$11)+(BK119/12*10*$F119*$G119*$H119*$N119*$BL$11)</f>
        <v>1330276.4092799998</v>
      </c>
      <c r="BM119" s="123"/>
      <c r="BN119" s="123">
        <f>(BM119/12*2*$E119*$G119*$H119*$M119*$BN$11)+(BM119/12*10*$F119*$G119*$H119*$M119*$BN$11)</f>
        <v>0</v>
      </c>
      <c r="BO119" s="123"/>
      <c r="BP119" s="123">
        <f>(BO119/12*2*$E119*$G119*$H119*$M119*$BP$11)+(BO119/12*10*$F119*$G119*$H119*$M119*$BP$12)</f>
        <v>0</v>
      </c>
      <c r="BQ119" s="123">
        <v>113</v>
      </c>
      <c r="BR119" s="123">
        <f>(BQ119/12*2*$E119*$G119*$H119*$M119*$BR$11)+(BQ119/12*10*$F119*$G119*$H119*$M119*$BR$11)</f>
        <v>8029980.4619999984</v>
      </c>
      <c r="BS119" s="123">
        <v>10</v>
      </c>
      <c r="BT119" s="123">
        <f>(BS119/12*2*$E119*$G119*$H119*$N119*$BT$11)+(BS119/12*10*$F119*$G119*$H119*$N119*$BT$11)</f>
        <v>852741.28800000006</v>
      </c>
      <c r="BU119" s="123"/>
      <c r="BV119" s="126">
        <f>(BU119/12*2*$E119*$G119*$H119*$M119*$BV$11)+(BU119/12*10*$F119*$G119*$H119*$M119*$BV$11)</f>
        <v>0</v>
      </c>
      <c r="BW119" s="123"/>
      <c r="BX119" s="123">
        <f>(BW119/12*2*$E119*$G119*$H119*$M119*$BX$11)+(BW119/12*10*$F119*$G119*$H119*$M119*$BX$11)</f>
        <v>0</v>
      </c>
      <c r="BY119" s="123">
        <v>12</v>
      </c>
      <c r="BZ119" s="123">
        <f>(BY119/12*2*$E119*$G119*$H119*$M119*$BZ$11)+(BY119/12*10*$F119*$G119*$H119*$M119*$BZ$11)</f>
        <v>852741.28799999994</v>
      </c>
      <c r="CA119" s="123">
        <v>18</v>
      </c>
      <c r="CB119" s="123">
        <f>(CA119/12*2*$E119*$G119*$H119*$M119*$CB$11)+(CA119/12*10*$F119*$G119*$H119*$M119*$CB$11)</f>
        <v>1534934.3184</v>
      </c>
      <c r="CC119" s="123">
        <v>3</v>
      </c>
      <c r="CD119" s="123">
        <f>(CC119/12*2*$E119*$G119*$H119*$M119*$CD$11)+(CC119/12*10*$F119*$G119*$H119*$M119*$CD$11)</f>
        <v>213185.32199999999</v>
      </c>
      <c r="CE119" s="123">
        <v>1</v>
      </c>
      <c r="CF119" s="123">
        <f>(CE119/12*10*$F119*$G119*$H119*$N119*$CF$11)</f>
        <v>71630.579999999987</v>
      </c>
      <c r="CG119" s="132"/>
      <c r="CH119" s="123">
        <f>(CG119/12*2*$E119*$G119*$H119*$N119*$CH$11)+(CG119/12*10*$F119*$G119*$H119*$N119*$CH$11)</f>
        <v>0</v>
      </c>
      <c r="CI119" s="123"/>
      <c r="CJ119" s="127">
        <f>(CI119*$E119*$G119*$H119*$N119*CJ$11)</f>
        <v>0</v>
      </c>
      <c r="CK119" s="123"/>
      <c r="CL119" s="123">
        <f>(CK119/12*2*$E119*$G119*$H119*$N119*$CL$11)+(CK119/12*10*$F119*$G119*$H119*$N119*$CL$12)</f>
        <v>0</v>
      </c>
      <c r="CM119" s="130"/>
      <c r="CN119" s="123">
        <f>(CM119/12*2*$E119*$G119*$H119*$N119*$CN$11)+(CM119/12*10*$F119*$G119*$H119*$N119*$CN$11)</f>
        <v>0</v>
      </c>
      <c r="CO119" s="123"/>
      <c r="CP119" s="123">
        <f>(CO119/12*2*$E119*$G119*$H119*$N119*$CP$11)+(CO119/12*10*$F119*$G119*$H119*$N119*$CP$11)</f>
        <v>0</v>
      </c>
      <c r="CQ119" s="123"/>
      <c r="CR119" s="123">
        <f>(CQ119/12*2*$E119*$G119*$H119*$O119*$CR$11)+(CQ119/12*10*$F119*$G119*$H119*$O119*$CR$11)</f>
        <v>0</v>
      </c>
      <c r="CS119" s="123">
        <v>1</v>
      </c>
      <c r="CT119" s="133">
        <f>(CS119/12*2*$E119*$G119*$H119*$P119*$CT$11)+(CS119/12*10*$F119*$G119*$H119*$P119*$CT$11)</f>
        <v>130449.11369999997</v>
      </c>
      <c r="CU119" s="127"/>
      <c r="CV119" s="123">
        <f>(CU119*$E119*$G119*$H119*$M119*CV$11)/12*6+(CU119*$E119*$G119*$H119*1*CV$11)/12*6</f>
        <v>0</v>
      </c>
      <c r="CW119" s="126">
        <f t="shared" ref="CW119:CX121" si="187">SUM(Q119,S119,U119,W119,Y119,AA119,AC119,AE119,AG119,AM119,BQ119,AI119,AU119,CC119,AW119,AY119,AK119,BC119,AO119,AQ119,BE119,CE119,BG119,BI119,BK119,BS119,BM119,BO119,BU119,BW119,BY119,CA119,CG119,BA119,AS119,CI119,CK119,CM119,CO119,CQ119,CS119,CU119)</f>
        <v>1415</v>
      </c>
      <c r="CX119" s="126">
        <f t="shared" si="187"/>
        <v>119276604.4984</v>
      </c>
    </row>
    <row r="120" spans="1:102" ht="30" customHeight="1" x14ac:dyDescent="0.25">
      <c r="A120" s="91"/>
      <c r="B120" s="116">
        <v>93</v>
      </c>
      <c r="C120" s="117" t="s">
        <v>329</v>
      </c>
      <c r="D120" s="161" t="s">
        <v>330</v>
      </c>
      <c r="E120" s="95">
        <v>28004</v>
      </c>
      <c r="F120" s="96">
        <v>29405</v>
      </c>
      <c r="G120" s="119">
        <v>2.4900000000000002</v>
      </c>
      <c r="H120" s="107">
        <v>1</v>
      </c>
      <c r="I120" s="108"/>
      <c r="J120" s="108"/>
      <c r="K120" s="108"/>
      <c r="L120" s="63"/>
      <c r="M120" s="120">
        <v>1.4</v>
      </c>
      <c r="N120" s="120">
        <v>1.68</v>
      </c>
      <c r="O120" s="120">
        <v>2.23</v>
      </c>
      <c r="P120" s="121">
        <v>2.57</v>
      </c>
      <c r="Q120" s="122">
        <v>1</v>
      </c>
      <c r="R120" s="123">
        <f>(Q120/12*2*$E120*$G120*$H120*$M120*$R$11)+(Q120/12*10*$F120*$G120*$H120*$M120*$R$11)</f>
        <v>111861.03390000001</v>
      </c>
      <c r="S120" s="124"/>
      <c r="T120" s="125">
        <f>(S120/12*2*$E120*$G120*$H120*$M120*$R$11)+(S120/12*10*$F120*$G120*$H120*$M120*$R$11)</f>
        <v>0</v>
      </c>
      <c r="U120" s="123">
        <v>5</v>
      </c>
      <c r="V120" s="123">
        <f>(U120/12*2*$E120*$G120*$H120*$M120*$V$11)+(U120/12*10*$F120*$G120*$H120*$M120*$V$12)</f>
        <v>681945.40925000014</v>
      </c>
      <c r="W120" s="123"/>
      <c r="X120" s="126">
        <f>(W120/12*2*$E120*$G120*$H120*$M120*$X$11)+(W120/12*10*$F120*$G120*$H120*$M120*$X$12)</f>
        <v>0</v>
      </c>
      <c r="Y120" s="123">
        <f>4+2</f>
        <v>6</v>
      </c>
      <c r="Z120" s="123">
        <f>(Y120/12*2*$E120*$G120*$H120*$M120*$Z$11)+(Y120/12*10*$F120*$G120*$H120*$M120*$Z$12)</f>
        <v>818334.49109999998</v>
      </c>
      <c r="AA120" s="123"/>
      <c r="AB120" s="123">
        <f>(AA120/12*2*$E120*$G120*$H120*$M120*$AB$11)+(AA120/12*10*$F120*$G120*$H120*$M120*$AB$11)</f>
        <v>0</v>
      </c>
      <c r="AC120" s="123"/>
      <c r="AD120" s="123"/>
      <c r="AE120" s="123"/>
      <c r="AF120" s="123">
        <f>(AE120/12*2*$E120*$G120*$H120*$M120*$AF$11)+(AE120/12*10*$F120*$G120*$H120*$M120*$AF$11)</f>
        <v>0</v>
      </c>
      <c r="AG120" s="135">
        <v>0</v>
      </c>
      <c r="AH120" s="136">
        <f>(AG120/12*2*$E120*$G120*$H120*$M120*$AH$11)+(AG120/12*10*$F120*$G120*$H120*$M120*$AH$11)</f>
        <v>0</v>
      </c>
      <c r="AI120" s="123">
        <v>4</v>
      </c>
      <c r="AJ120" s="123">
        <f t="shared" si="186"/>
        <v>525380.75379999995</v>
      </c>
      <c r="AK120" s="123"/>
      <c r="AL120" s="123">
        <f t="shared" ref="AL120" si="188">(AK120/12*2*$E120*$G120*$H120*$N120*$AL$11)+(AK120/12*5*$F120*$G120*$H120*$N120*$AL$12)++(AK120/12*5*$F120*$G120*$H120*$N120*$AL$13)</f>
        <v>0</v>
      </c>
      <c r="AM120" s="132">
        <f>10-2</f>
        <v>8</v>
      </c>
      <c r="AN120" s="123">
        <f>(AM120/12*2*$E120*$G120*$H120*$N120*$AN$11)+(AM120/12*10*$F120*$G120*$H120*$N120*$AN$12)</f>
        <v>1309335.18576</v>
      </c>
      <c r="AO120" s="130"/>
      <c r="AP120" s="127">
        <f>(AO120/12*2*$E120*$G120*$H120*$N120*$AP$11)+(AO120/12*10*$F120*$G120*$H120*$N120*$AP$11)</f>
        <v>0</v>
      </c>
      <c r="AQ120" s="127">
        <v>0</v>
      </c>
      <c r="AR120" s="127">
        <v>0</v>
      </c>
      <c r="AS120" s="123"/>
      <c r="AT120" s="123">
        <f>(AS120/12*2*$E120*$G120*$H120*$M120*$AT$11)+(AS120/12*10*$F120*$G120*$H120*$M120*$AT$11)</f>
        <v>0</v>
      </c>
      <c r="AU120" s="123"/>
      <c r="AV120" s="126">
        <f>(AU120/12*2*$E120*$G120*$H120*$M120*$AV$11)+(AU120/12*10*$F120*$G120*$H120*$M120*$AV$12)</f>
        <v>0</v>
      </c>
      <c r="AW120" s="123"/>
      <c r="AX120" s="123">
        <f>(AW120/12*2*$E120*$G120*$H120*$M120*$AX$11)+(AW120/12*10*$F120*$G120*$H120*$M120*$AX$12)</f>
        <v>0</v>
      </c>
      <c r="AY120" s="131"/>
      <c r="AZ120" s="123">
        <f>(AY120/12*2*$E120*$G120*$H120*$N120*$AZ$11)+(AY120/12*10*$F120*$G120*$H120*$N120*$AZ$11)</f>
        <v>0</v>
      </c>
      <c r="BA120" s="123"/>
      <c r="BB120" s="123">
        <f>(BA120/12*2*$E120*$G120*$H120*$N120*$BB$11)+(BA120/12*10*$F120*$G120*$H120*$N120*$BB$12)</f>
        <v>0</v>
      </c>
      <c r="BC120" s="123"/>
      <c r="BD120" s="126">
        <f>(BC120/12*2*$E120*$G120*$H120*$N120*$BD$11)+(BC120/12*10*$F120*$G120*$H120*$N120*$BD$12)</f>
        <v>0</v>
      </c>
      <c r="BE120" s="123">
        <v>2</v>
      </c>
      <c r="BF120" s="123">
        <f>(BE120/12*10*$F120*$G120*$H120*$N120*$BF$12)</f>
        <v>205011.66</v>
      </c>
      <c r="BG120" s="123"/>
      <c r="BH120" s="123">
        <f>(BG120/12*2*$E120*$G120*$H120*$N120*$BH$11)+(BG120/12*10*$F120*$G120*$H120*$N120*$BH$11)</f>
        <v>0</v>
      </c>
      <c r="BI120" s="123"/>
      <c r="BJ120" s="126">
        <f>(BI120/12*2*$E120*$G120*$H120*$N120*$BJ$11)+(BI120/12*10*$F120*$G120*$H120*$N120*$BJ$11)</f>
        <v>0</v>
      </c>
      <c r="BK120" s="123"/>
      <c r="BL120" s="127">
        <f>(BK120/12*2*$E120*$G120*$H120*$N120*$BL$11)+(BK120/12*10*$F120*$G120*$H120*$N120*$BL$11)</f>
        <v>0</v>
      </c>
      <c r="BM120" s="123"/>
      <c r="BN120" s="123">
        <f>(BM120/12*2*$E120*$G120*$H120*$M120*$BN$11)+(BM120/12*10*$F120*$G120*$H120*$M120*$BN$11)</f>
        <v>0</v>
      </c>
      <c r="BO120" s="123"/>
      <c r="BP120" s="123">
        <f>(BO120/12*2*$E120*$G120*$H120*$M120*$BP$11)+(BO120/12*10*$F120*$G120*$H120*$M120*$BP$12)</f>
        <v>0</v>
      </c>
      <c r="BQ120" s="123"/>
      <c r="BR120" s="123">
        <f>(BQ120/12*2*$E120*$G120*$H120*$M120*$BR$11)+(BQ120/12*10*$F120*$G120*$H120*$M120*$BR$11)</f>
        <v>0</v>
      </c>
      <c r="BS120" s="123">
        <v>0</v>
      </c>
      <c r="BT120" s="123">
        <f>(BS120/12*2*$E120*$G120*$H120*$N120*$BT$11)+(BS120/12*10*$F120*$G120*$H120*$N120*$BT$11)</f>
        <v>0</v>
      </c>
      <c r="BU120" s="123"/>
      <c r="BV120" s="126">
        <f>(BU120/12*2*$E120*$G120*$H120*$M120*$BV$11)+(BU120/12*10*$F120*$G120*$H120*$M120*$BV$11)</f>
        <v>0</v>
      </c>
      <c r="BW120" s="123"/>
      <c r="BX120" s="123">
        <f>(BW120/12*2*$E120*$G120*$H120*$M120*$BX$11)+(BW120/12*10*$F120*$G120*$H120*$M120*$BX$11)</f>
        <v>0</v>
      </c>
      <c r="BY120" s="123"/>
      <c r="BZ120" s="123">
        <f>(BY120/12*2*$E120*$G120*$H120*$M120*$BZ$11)+(BY120/12*10*$F120*$G120*$H120*$M120*$BZ$11)</f>
        <v>0</v>
      </c>
      <c r="CA120" s="123"/>
      <c r="CB120" s="123">
        <f>(CA120/12*2*$E120*$G120*$H120*$M120*$CB$11)+(CA120/12*10*$F120*$G120*$H120*$M120*$CB$11)</f>
        <v>0</v>
      </c>
      <c r="CC120" s="123"/>
      <c r="CD120" s="123">
        <f>(CC120/12*2*$E120*$G120*$H120*$M120*$CD$11)+(CC120/12*10*$F120*$G120*$H120*$M120*$CD$11)</f>
        <v>0</v>
      </c>
      <c r="CE120" s="123"/>
      <c r="CF120" s="123">
        <f>(CE120/12*10*$F120*$G120*$H120*$N120*$CF$11)</f>
        <v>0</v>
      </c>
      <c r="CG120" s="132"/>
      <c r="CH120" s="123">
        <f>(CG120/12*2*$E120*$G120*$H120*$N120*$CH$11)+(CG120/12*10*$F120*$G120*$H120*$N120*$CH$11)</f>
        <v>0</v>
      </c>
      <c r="CI120" s="123"/>
      <c r="CJ120" s="127">
        <f>(CI120*$E120*$G120*$H120*$N120*CJ$11)</f>
        <v>0</v>
      </c>
      <c r="CK120" s="123"/>
      <c r="CL120" s="123">
        <f>(CK120/12*2*$E120*$G120*$H120*$N120*$CL$11)+(CK120/12*10*$F120*$G120*$H120*$N120*$CL$12)</f>
        <v>0</v>
      </c>
      <c r="CM120" s="130"/>
      <c r="CN120" s="123">
        <f>(CM120/12*2*$E120*$G120*$H120*$N120*$CN$11)+(CM120/12*10*$F120*$G120*$H120*$N120*$CN$11)</f>
        <v>0</v>
      </c>
      <c r="CO120" s="123"/>
      <c r="CP120" s="123">
        <f>(CO120/12*2*$E120*$G120*$H120*$N120*$CP$11)+(CO120/12*10*$F120*$G120*$H120*$N120*$CP$11)</f>
        <v>0</v>
      </c>
      <c r="CQ120" s="123"/>
      <c r="CR120" s="123">
        <f>(CQ120/12*2*$E120*$G120*$H120*$O120*$CR$11)+(CQ120/12*10*$F120*$G120*$H120*$O120*$CR$11)</f>
        <v>0</v>
      </c>
      <c r="CS120" s="123"/>
      <c r="CT120" s="133">
        <f>(CS120/12*2*$E120*$G120*$H120*$P120*$CT$11)+(CS120/12*10*$F120*$G120*$H120*$P120*$CT$11)</f>
        <v>0</v>
      </c>
      <c r="CU120" s="127"/>
      <c r="CV120" s="123">
        <f>(CU120*$E120*$G120*$H120*$M120*CV$11)/12*6+(CU120*$E120*$G120*$H120*1*CV$11)/12*6</f>
        <v>0</v>
      </c>
      <c r="CW120" s="126">
        <f t="shared" si="187"/>
        <v>26</v>
      </c>
      <c r="CX120" s="126">
        <f t="shared" si="187"/>
        <v>3651868.5338100004</v>
      </c>
    </row>
    <row r="121" spans="1:102" ht="30" customHeight="1" x14ac:dyDescent="0.25">
      <c r="A121" s="91"/>
      <c r="B121" s="116">
        <v>94</v>
      </c>
      <c r="C121" s="202" t="s">
        <v>331</v>
      </c>
      <c r="D121" s="148" t="s">
        <v>332</v>
      </c>
      <c r="E121" s="95">
        <v>28004</v>
      </c>
      <c r="F121" s="96">
        <v>29405</v>
      </c>
      <c r="G121" s="149">
        <v>7.23</v>
      </c>
      <c r="H121" s="107">
        <v>1</v>
      </c>
      <c r="I121" s="108"/>
      <c r="J121" s="108"/>
      <c r="K121" s="108"/>
      <c r="L121" s="142">
        <v>0.3332</v>
      </c>
      <c r="M121" s="120">
        <v>1.4</v>
      </c>
      <c r="N121" s="120">
        <v>1.68</v>
      </c>
      <c r="O121" s="120">
        <v>2.23</v>
      </c>
      <c r="P121" s="121">
        <v>2.57</v>
      </c>
      <c r="Q121" s="122">
        <v>1</v>
      </c>
      <c r="R121" s="143">
        <f>(Q121/12*2*$E121*$G121*((1-$L121)+$L121*$M121*$R$11*$H121))+(Q121/12*10*$F121*$G121*((1-$L121)+$L121*$M121*$R$11*$H121))</f>
        <v>248858.54958396</v>
      </c>
      <c r="S121" s="124"/>
      <c r="T121" s="144">
        <f>(S121/12*2*$E121*$G121*((1-$L121)+$L121*$M121*$R$11*$H121))+(S121/12*10*$F121*$G121*((1-$L121)+$L121*$M121*$R$11*$H121))</f>
        <v>0</v>
      </c>
      <c r="U121" s="123"/>
      <c r="V121" s="143">
        <f>(U121/12*2*$E121*$G121*((1-$L121)+$L121*$M121*V$11*$H121))+(U121/12*10*$F121*$G121*((1-$L121)+$L121*$M121*V$12*$H121))</f>
        <v>0</v>
      </c>
      <c r="W121" s="123"/>
      <c r="X121" s="143">
        <f>(W121/12*2*$E121*$G121*((1-$L121)+$L121*$M121*$X$11*$H121))+(W121/12*10*$F121*$G121*((1-$L121)+$L121*$M121*$X$12*$H121))</f>
        <v>0</v>
      </c>
      <c r="Y121" s="123"/>
      <c r="Z121" s="143">
        <f>(Y121/12*2*$E121*$G121*((1-$L121)+$L121*$M121*$Z$11*$H121))+(Y121/12*10*$F121*$G121*((1-$L121)+$L121*$M121*$Z$12*$H121))</f>
        <v>0</v>
      </c>
      <c r="AA121" s="123"/>
      <c r="AB121" s="143">
        <f>(AA121/12*2*$E121*$G121*((1-$L121)+$L121*$M121*$AB$11*$H121))+(AA121/12*10*$F121*$G121*((1-$L121)+$L121*$M121*$AB$11*$H121))</f>
        <v>0</v>
      </c>
      <c r="AC121" s="123"/>
      <c r="AD121" s="123"/>
      <c r="AE121" s="123"/>
      <c r="AF121" s="143">
        <f>(AE121/12*2*$E121*$G121*((1-$L121)+$L121*$M121*AF$11*$H121))+(AE121/12*10*$F121*$G121*((1-$L121)+$L121*$M121*AF$11*$H121))</f>
        <v>0</v>
      </c>
      <c r="AG121" s="123">
        <v>0</v>
      </c>
      <c r="AH121" s="143">
        <f>(AG121/12*2*$E121*$G121*((1-$L121)+$L121*$H121*AH$11*$M121))+(AG121/12*10*$F121*$G121*((1-$L121)+$L121*$H121*AH$11*$M121))</f>
        <v>0</v>
      </c>
      <c r="AI121" s="123"/>
      <c r="AJ121" s="143">
        <f>(AI121/12*2*$E121*$G121*((1-$L121)+$L121*$H121*AJ$11*$M121))+(AI121/12*5*$F121*$G121*((1-$L121)+$L121*$H121*AJ$12*$M121))+(AI121/12*5*$F121*$G121*((1-$L121)+$L121*$H121*AJ$13*$M121))</f>
        <v>0</v>
      </c>
      <c r="AK121" s="123"/>
      <c r="AL121" s="143">
        <f>(AK121/12*2*$E121*$G121*((1-$L121)+$L121*$H121*AL$11*$N121))+(AK121/12*4*$F121*$G121*((1-$L121)+$L121*$H121*AL$12*$N121))+(AK121/12*6*$F121*$G121*((1-$L121)+$L121*$H121*AL$13*$N121))</f>
        <v>0</v>
      </c>
      <c r="AM121" s="132"/>
      <c r="AN121" s="143">
        <f>(AM121/12*2*$E121*$G121*((1-$L121)+$L121*$N121*$AN$11*H121))+(AM121/12*10*$F121*$G121*((1-$L121)+$L121*$N121*$AN$12*H121))</f>
        <v>0</v>
      </c>
      <c r="AO121" s="130"/>
      <c r="AP121" s="143">
        <f>(AO121/12*2*$E121*$G121*((1-$L121)+$L121*$H121*AP$11*$N121))+(AO121/12*10*$F121*$G121*((1-$L121)+$L121*$H121*AP$11*$N121))</f>
        <v>0</v>
      </c>
      <c r="AQ121" s="143">
        <v>0</v>
      </c>
      <c r="AR121" s="143">
        <v>0</v>
      </c>
      <c r="AS121" s="123"/>
      <c r="AT121" s="123"/>
      <c r="AU121" s="123"/>
      <c r="AV121" s="126"/>
      <c r="AW121" s="123"/>
      <c r="AX121" s="143">
        <f>(AW121/12*2*$E121*$G121*((1-$L121)+$L121*$H121*AX$11*$M121))+(AW121/12*10*$F121*$G121*((1-$L121)+$L121*$H121*AX$12*$M121))</f>
        <v>0</v>
      </c>
      <c r="AY121" s="131"/>
      <c r="AZ121" s="143">
        <f>(AY121/12*2*$E121*$G121*((1-$L121)+$L121*$N121*$H121*$AZ$11))+(AY121/12*10*$F121*$G121*((1-$L121)+$L121*$N121*$H121*$AZ$11))</f>
        <v>0</v>
      </c>
      <c r="BA121" s="123"/>
      <c r="BB121" s="143">
        <f>(BA121/12*2*$E121*$G121*((1-$L121)+$L121*$H121*BB$11*$N121))+(BA121/12*10*$F121*$G121*((1-$L121)+$L121*$H121*BB$12*$N121))</f>
        <v>0</v>
      </c>
      <c r="BC121" s="123"/>
      <c r="BD121" s="146">
        <f>(BC121/12*2*$E121*$G121*$H121*$N121*$BD$11)+(BC121/12*10*$F121*$G121*$H121*$N121*$BD$12)</f>
        <v>0</v>
      </c>
      <c r="BE121" s="123"/>
      <c r="BF121" s="143">
        <f>(BE121/12*2*$E121*$G121*((1-$L121)+$L121*$H121*BF$11*$N121))+(BE121/12*10*$F121*$G121*((1-$L121)+$L121*$H121*BF$12*$N121))</f>
        <v>0</v>
      </c>
      <c r="BG121" s="123"/>
      <c r="BH121" s="143">
        <f>(BG121/12*2*$E121*$G121*((1-$L121)+$L121*$H121*BH$11*$N121))+(BG121/12*10*$F121*$G121*((1-$L121)+$L121*$H121*BH$11*$N121))</f>
        <v>0</v>
      </c>
      <c r="BI121" s="123"/>
      <c r="BJ121" s="143">
        <f>(BI121/12*2*$E121*$G121*((1-$L121)+$L121*$H121*BJ$11*$N121))+(BI121/12*10*$F121*$G121*((1-$L121)+$L121*$H121*BJ$11*$N121))</f>
        <v>0</v>
      </c>
      <c r="BK121" s="123"/>
      <c r="BL121" s="143">
        <f>(BK121/12*2*$E121*$G121*((1-$L121)+$L121*$H121*BL$11*$N121))+(BK121/12*10*$F121*$G121*((1-$L121)+$L121*$H121*BL$11*$N121))</f>
        <v>0</v>
      </c>
      <c r="BM121" s="123"/>
      <c r="BN121" s="143">
        <f>(BM121/12*2*$E121*$G121*((1-$L121)+$L121*$H121*BN$11*$M121))+(BM121/12*10*$F121*$G121*((1-$L121)+$L121*$H121*BN$11*$M121))</f>
        <v>0</v>
      </c>
      <c r="BO121" s="123"/>
      <c r="BP121" s="143">
        <f>(BO121/12*2*$E121*$G121*((1-$L121)+$L121*$H121*BP$11*$M121))+(BO121/12*10*$F121*$G121*((1-$L121)+$L121*$H121*BP$12*$M121))</f>
        <v>0</v>
      </c>
      <c r="BQ121" s="123"/>
      <c r="BR121" s="123"/>
      <c r="BS121" s="123"/>
      <c r="BT121" s="143">
        <f>(BS121/12*2*$E121*$G121*((1-$L121)+$L121*$H121*BT$11*$N121))+(BS121/12*10*$F121*$G121*((1-$L121)+$L121*$H121*BT$11*$N121))</f>
        <v>0</v>
      </c>
      <c r="BU121" s="123"/>
      <c r="BV121" s="126"/>
      <c r="BW121" s="123"/>
      <c r="BX121" s="143">
        <f>(BW121/12*2*$E121*$G121*((1-$L121)+$L121*$H121*BX$11*$M121))+(BW121/12*10*$F121*$G121*((1-$L121)+$L121*$H121*BX$11*$M121))</f>
        <v>0</v>
      </c>
      <c r="BY121" s="123"/>
      <c r="BZ121" s="143">
        <f>(BY121/12*2*$E121*$G121*((1-$L121)+$L121*$H121*BZ$11*$M121))+(BY121/12*10*$F121*$G121*((1-$L121)+$L121*$H121*BZ$11*$M121))</f>
        <v>0</v>
      </c>
      <c r="CA121" s="123"/>
      <c r="CB121" s="143">
        <f>(CA121/12*2*$E121*$G121*((1-$L121)+$L121*$H121*CB$11*$M121))+(CA121/12*10*$F121*$G121*((1-$L121)+$L121*$H121*CB$11*$M121))</f>
        <v>0</v>
      </c>
      <c r="CC121" s="123"/>
      <c r="CD121" s="146">
        <f>(CC121/12*2*$E121*$G121*((1-$L121)+$L121*$M121*$CD$11*$H121))+(CC121/12*10*$F121*$G121*((1-$L121)+$L121*$M121*$CD$11*$H121))</f>
        <v>0</v>
      </c>
      <c r="CE121" s="123"/>
      <c r="CF121" s="143">
        <f>(CE121/12*10*$F121*$G121*((1-$L121)+$L121*$H121*CF$11*$N121))</f>
        <v>0</v>
      </c>
      <c r="CG121" s="132"/>
      <c r="CH121" s="143">
        <f>(CG121/12*2*$E121*$G121*((1-$L121)+$L121*$H121*CH$11*$N121))+(CG121/12*10*$F121*$G121*((1-$L121)+$L121*$H121*CH$11*$N121))</f>
        <v>0</v>
      </c>
      <c r="CI121" s="123"/>
      <c r="CJ121" s="127"/>
      <c r="CK121" s="123"/>
      <c r="CL121" s="123"/>
      <c r="CM121" s="130"/>
      <c r="CN121" s="143">
        <f>((CM121/12*2*$E121*$G121*((1-$L121)+$L121*$H121*CN$11*$N121)))+((CM121/12*10*$F121*$G121*((1-$L121)+$L121*$H121*CN$11*$N121)))</f>
        <v>0</v>
      </c>
      <c r="CO121" s="123"/>
      <c r="CP121" s="143">
        <f>(CO121/12*2*$E121*$G121*((1-$L121)+$L121*$H121*CP$11*$N121))+(CO121/12*10*$F121*$G121*((1-$L121)+$L121*$H121*CP$11*$N121))</f>
        <v>0</v>
      </c>
      <c r="CQ121" s="123"/>
      <c r="CR121" s="143">
        <f>(CQ121/12*2*$E121*$G121*((1-$L121)+$L121*$H121*CR$11*$O121))+(CQ121/12*10*$F121*$G121*((1-$L121)+$L121*$H121*CR$11*$O121))</f>
        <v>0</v>
      </c>
      <c r="CS121" s="123"/>
      <c r="CT121" s="143">
        <f>(CS121/12*2*$E121*$G121*((1-$L121)+$L121*$H121*CT$11*$P121))+(CS121/12*10*$F121*$G121*((1-$L121)+$L121*$H121*CT$11*$P121))</f>
        <v>0</v>
      </c>
      <c r="CU121" s="127"/>
      <c r="CV121" s="127"/>
      <c r="CW121" s="126">
        <f t="shared" si="187"/>
        <v>1</v>
      </c>
      <c r="CX121" s="126">
        <f t="shared" si="187"/>
        <v>248858.54958396</v>
      </c>
    </row>
    <row r="122" spans="1:102" ht="15.75" customHeight="1" x14ac:dyDescent="0.25">
      <c r="A122" s="109">
        <v>15</v>
      </c>
      <c r="B122" s="150"/>
      <c r="C122" s="93" t="s">
        <v>333</v>
      </c>
      <c r="D122" s="164" t="s">
        <v>334</v>
      </c>
      <c r="E122" s="95">
        <v>28004</v>
      </c>
      <c r="F122" s="96">
        <v>29405</v>
      </c>
      <c r="G122" s="151">
        <v>1.1200000000000001</v>
      </c>
      <c r="H122" s="166"/>
      <c r="I122" s="108"/>
      <c r="J122" s="108"/>
      <c r="K122" s="108"/>
      <c r="L122" s="111"/>
      <c r="M122" s="112">
        <v>1.4</v>
      </c>
      <c r="N122" s="112">
        <v>1.68</v>
      </c>
      <c r="O122" s="112">
        <v>2.23</v>
      </c>
      <c r="P122" s="113">
        <v>2.57</v>
      </c>
      <c r="Q122" s="103">
        <f>SUM(Q123:Q141)</f>
        <v>1130</v>
      </c>
      <c r="R122" s="104">
        <f>SUM(R123:R141)</f>
        <v>102345763.35827668</v>
      </c>
      <c r="S122" s="114">
        <f t="shared" ref="S122:CD122" si="189">SUM(S123:S141)</f>
        <v>4083</v>
      </c>
      <c r="T122" s="115">
        <f t="shared" si="189"/>
        <v>319698316.61099499</v>
      </c>
      <c r="U122" s="104">
        <f t="shared" si="189"/>
        <v>800</v>
      </c>
      <c r="V122" s="104">
        <f t="shared" si="189"/>
        <v>45311753.64132084</v>
      </c>
      <c r="W122" s="104">
        <f t="shared" si="189"/>
        <v>0</v>
      </c>
      <c r="X122" s="104">
        <f t="shared" si="189"/>
        <v>0</v>
      </c>
      <c r="Y122" s="104">
        <f t="shared" si="189"/>
        <v>0</v>
      </c>
      <c r="Z122" s="104">
        <f t="shared" si="189"/>
        <v>0</v>
      </c>
      <c r="AA122" s="104">
        <f t="shared" si="189"/>
        <v>0</v>
      </c>
      <c r="AB122" s="104">
        <f t="shared" si="189"/>
        <v>0</v>
      </c>
      <c r="AC122" s="104">
        <f t="shared" si="189"/>
        <v>0</v>
      </c>
      <c r="AD122" s="104">
        <f t="shared" si="189"/>
        <v>0</v>
      </c>
      <c r="AE122" s="104">
        <f t="shared" si="189"/>
        <v>656</v>
      </c>
      <c r="AF122" s="105">
        <f t="shared" si="189"/>
        <v>26178524.318741668</v>
      </c>
      <c r="AG122" s="104">
        <f t="shared" si="189"/>
        <v>384</v>
      </c>
      <c r="AH122" s="104">
        <f t="shared" si="189"/>
        <v>14033685.678226667</v>
      </c>
      <c r="AI122" s="106">
        <f t="shared" si="189"/>
        <v>48</v>
      </c>
      <c r="AJ122" s="104">
        <f t="shared" si="189"/>
        <v>2543295.5037699998</v>
      </c>
      <c r="AK122" s="104">
        <f t="shared" si="189"/>
        <v>1647</v>
      </c>
      <c r="AL122" s="104">
        <f t="shared" si="189"/>
        <v>209272497.752444</v>
      </c>
      <c r="AM122" s="104">
        <f t="shared" si="189"/>
        <v>0</v>
      </c>
      <c r="AN122" s="104">
        <f t="shared" si="189"/>
        <v>0</v>
      </c>
      <c r="AO122" s="106">
        <f t="shared" si="189"/>
        <v>43</v>
      </c>
      <c r="AP122" s="104">
        <f t="shared" si="189"/>
        <v>1897123.3768620002</v>
      </c>
      <c r="AQ122" s="104">
        <v>150</v>
      </c>
      <c r="AR122" s="104">
        <v>6568251.7800000031</v>
      </c>
      <c r="AS122" s="104">
        <f t="shared" si="189"/>
        <v>0</v>
      </c>
      <c r="AT122" s="104">
        <f t="shared" si="189"/>
        <v>0</v>
      </c>
      <c r="AU122" s="104">
        <f t="shared" si="189"/>
        <v>0</v>
      </c>
      <c r="AV122" s="104">
        <f t="shared" si="189"/>
        <v>0</v>
      </c>
      <c r="AW122" s="104">
        <f t="shared" si="189"/>
        <v>86</v>
      </c>
      <c r="AX122" s="104">
        <f t="shared" si="189"/>
        <v>3094484.0882199993</v>
      </c>
      <c r="AY122" s="104">
        <f t="shared" si="189"/>
        <v>2202</v>
      </c>
      <c r="AZ122" s="104">
        <f t="shared" si="189"/>
        <v>179344816.48910403</v>
      </c>
      <c r="BA122" s="104">
        <f t="shared" si="189"/>
        <v>277</v>
      </c>
      <c r="BB122" s="104">
        <f t="shared" si="189"/>
        <v>10631021.822399998</v>
      </c>
      <c r="BC122" s="104">
        <f t="shared" si="189"/>
        <v>0</v>
      </c>
      <c r="BD122" s="104">
        <f t="shared" si="189"/>
        <v>0</v>
      </c>
      <c r="BE122" s="104">
        <f t="shared" si="189"/>
        <v>154</v>
      </c>
      <c r="BF122" s="104">
        <f t="shared" si="189"/>
        <v>5077908.2829999998</v>
      </c>
      <c r="BG122" s="104">
        <f t="shared" si="189"/>
        <v>757</v>
      </c>
      <c r="BH122" s="104">
        <f t="shared" si="189"/>
        <v>24958116.743363995</v>
      </c>
      <c r="BI122" s="104">
        <f t="shared" si="189"/>
        <v>388</v>
      </c>
      <c r="BJ122" s="104">
        <f t="shared" si="189"/>
        <v>30265484.783519998</v>
      </c>
      <c r="BK122" s="104">
        <f t="shared" si="189"/>
        <v>678</v>
      </c>
      <c r="BL122" s="104">
        <f t="shared" si="189"/>
        <v>37718120.854175992</v>
      </c>
      <c r="BM122" s="104">
        <f t="shared" si="189"/>
        <v>0</v>
      </c>
      <c r="BN122" s="104">
        <f t="shared" si="189"/>
        <v>0</v>
      </c>
      <c r="BO122" s="104">
        <f t="shared" si="189"/>
        <v>136</v>
      </c>
      <c r="BP122" s="104">
        <f t="shared" si="189"/>
        <v>5304752.5543833328</v>
      </c>
      <c r="BQ122" s="104">
        <f t="shared" si="189"/>
        <v>1</v>
      </c>
      <c r="BR122" s="104">
        <f t="shared" si="189"/>
        <v>35691.788999999997</v>
      </c>
      <c r="BS122" s="104">
        <f t="shared" si="189"/>
        <v>410</v>
      </c>
      <c r="BT122" s="104">
        <f t="shared" si="189"/>
        <v>16653535.481799997</v>
      </c>
      <c r="BU122" s="104">
        <f t="shared" si="189"/>
        <v>0</v>
      </c>
      <c r="BV122" s="104">
        <f t="shared" si="189"/>
        <v>0</v>
      </c>
      <c r="BW122" s="104">
        <f t="shared" si="189"/>
        <v>965</v>
      </c>
      <c r="BX122" s="104">
        <f t="shared" si="189"/>
        <v>22182226.976933338</v>
      </c>
      <c r="BY122" s="104">
        <f t="shared" si="189"/>
        <v>434</v>
      </c>
      <c r="BZ122" s="104">
        <f t="shared" si="189"/>
        <v>14928861.297933333</v>
      </c>
      <c r="CA122" s="104">
        <f t="shared" si="189"/>
        <v>996</v>
      </c>
      <c r="CB122" s="104">
        <f t="shared" si="189"/>
        <v>58044779.610999994</v>
      </c>
      <c r="CC122" s="104">
        <f t="shared" si="189"/>
        <v>304</v>
      </c>
      <c r="CD122" s="104">
        <f t="shared" si="189"/>
        <v>10275428.851799998</v>
      </c>
      <c r="CE122" s="104">
        <f t="shared" ref="CE122:CX122" si="190">SUM(CE123:CE141)</f>
        <v>135</v>
      </c>
      <c r="CF122" s="104">
        <f t="shared" si="190"/>
        <v>4240201</v>
      </c>
      <c r="CG122" s="104">
        <f t="shared" si="190"/>
        <v>0</v>
      </c>
      <c r="CH122" s="104">
        <f t="shared" si="190"/>
        <v>0</v>
      </c>
      <c r="CI122" s="104">
        <f t="shared" si="190"/>
        <v>0</v>
      </c>
      <c r="CJ122" s="104">
        <f t="shared" si="190"/>
        <v>0</v>
      </c>
      <c r="CK122" s="104">
        <f t="shared" si="190"/>
        <v>135</v>
      </c>
      <c r="CL122" s="104">
        <f t="shared" si="190"/>
        <v>12189790.757423999</v>
      </c>
      <c r="CM122" s="104">
        <f t="shared" si="190"/>
        <v>0</v>
      </c>
      <c r="CN122" s="104">
        <f t="shared" si="190"/>
        <v>0</v>
      </c>
      <c r="CO122" s="104">
        <f t="shared" si="190"/>
        <v>423</v>
      </c>
      <c r="CP122" s="104">
        <f t="shared" si="190"/>
        <v>3259625.0600000005</v>
      </c>
      <c r="CQ122" s="104">
        <f t="shared" si="190"/>
        <v>17</v>
      </c>
      <c r="CR122" s="104">
        <f t="shared" si="190"/>
        <v>1077125.3250583333</v>
      </c>
      <c r="CS122" s="104">
        <f t="shared" si="190"/>
        <v>85</v>
      </c>
      <c r="CT122" s="104">
        <f t="shared" si="190"/>
        <v>4764675.7372416668</v>
      </c>
      <c r="CU122" s="104">
        <f t="shared" si="190"/>
        <v>0</v>
      </c>
      <c r="CV122" s="104">
        <f t="shared" si="190"/>
        <v>0</v>
      </c>
      <c r="CW122" s="104">
        <f t="shared" si="190"/>
        <v>17524</v>
      </c>
      <c r="CX122" s="104">
        <f t="shared" si="190"/>
        <v>1171895859.5269949</v>
      </c>
    </row>
    <row r="123" spans="1:102" ht="27.75" customHeight="1" x14ac:dyDescent="0.25">
      <c r="A123" s="91"/>
      <c r="B123" s="116">
        <v>95</v>
      </c>
      <c r="C123" s="168" t="s">
        <v>335</v>
      </c>
      <c r="D123" s="161" t="s">
        <v>336</v>
      </c>
      <c r="E123" s="95">
        <v>28004</v>
      </c>
      <c r="F123" s="96">
        <v>29405</v>
      </c>
      <c r="G123" s="119">
        <v>0.98</v>
      </c>
      <c r="H123" s="107">
        <v>1</v>
      </c>
      <c r="I123" s="108"/>
      <c r="J123" s="108"/>
      <c r="K123" s="108"/>
      <c r="L123" s="63"/>
      <c r="M123" s="120">
        <v>1.4</v>
      </c>
      <c r="N123" s="120">
        <v>1.68</v>
      </c>
      <c r="O123" s="120">
        <v>2.23</v>
      </c>
      <c r="P123" s="121">
        <v>2.57</v>
      </c>
      <c r="Q123" s="122">
        <v>4</v>
      </c>
      <c r="R123" s="123">
        <f>(Q123/12*2*$E123*$G123*$H123*$M123*$R$11)+(Q123/12*10*$F123*$G123*$H123*$M123*$R$11)</f>
        <v>176102.51120000001</v>
      </c>
      <c r="S123" s="124">
        <v>20</v>
      </c>
      <c r="T123" s="125">
        <f>(S123/12*2*$E123*$G123*$H123*$M123*$R$11)+(S123/12*10*$F123*$G123*$H123*$M123*$R$11)</f>
        <v>880512.5560000001</v>
      </c>
      <c r="U123" s="123"/>
      <c r="V123" s="123">
        <f>(U123/12*2*$E123*$G123*$H123*$M123*$V$11)+(U123/12*10*$F123*$G123*$H123*$M123*$V$12)</f>
        <v>0</v>
      </c>
      <c r="W123" s="123"/>
      <c r="X123" s="126">
        <f>(W123/12*2*$E123*$G123*$H123*$M123*$X$11)+(W123/12*10*$F123*$G123*$H123*$M123*$X$12)</f>
        <v>0</v>
      </c>
      <c r="Y123" s="123"/>
      <c r="Z123" s="123">
        <f>(Y123/12*2*$E123*$G123*$H123*$M123*$Z$11)+(Y123/12*10*$F123*$G123*$H123*$M123*$Z$12)</f>
        <v>0</v>
      </c>
      <c r="AA123" s="123"/>
      <c r="AB123" s="123">
        <f>(AA123/12*2*$E123*$G123*$H123*$M123*$AB$11)+(AA123/12*10*$F123*$G123*$H123*$M123*$AB$11)</f>
        <v>0</v>
      </c>
      <c r="AC123" s="123"/>
      <c r="AD123" s="123"/>
      <c r="AE123" s="123">
        <v>3</v>
      </c>
      <c r="AF123" s="127">
        <f>(AE123/12*2*$E123*$G123*$H123*$M123*$AF$11)+(AE123/12*10*$F123*$G123*$H123*$M123*$AF$11)</f>
        <v>132076.88339999999</v>
      </c>
      <c r="AG123" s="123">
        <v>2</v>
      </c>
      <c r="AH123" s="126">
        <f>(AG123/12*2*$E123*$G123*$H123*$M123*$AH$11)+(AG123/12*10*$F123*$G123*$H123*$M123*$AH$11)</f>
        <v>88051.255600000004</v>
      </c>
      <c r="AI123" s="130"/>
      <c r="AJ123" s="123">
        <f t="shared" ref="AJ123:AJ125" si="191">(AI123/12*2*$E123*$G123*$H123*$M123*$AJ$11)+(AI123/12*5*$F123*$G123*$H123*$M123*$AJ$12)+(AI123/12*5*$F123*$G123*$H123*$M123*$AJ$13)</f>
        <v>0</v>
      </c>
      <c r="AK123" s="123">
        <v>45</v>
      </c>
      <c r="AL123" s="123">
        <f>(AK123/12*2*$E123*$G123*$H123*$N123*$AL$11)+(AK123/12*5*$F123*$G123*$H123*$N123*$AL$12)+(AK123/12*5*$F123*$G123*$H123*$N123*$AL$13)</f>
        <v>2791480.8726000004</v>
      </c>
      <c r="AM123" s="132"/>
      <c r="AN123" s="123">
        <f>(AM123/12*2*$E123*$G123*$H123*$N123*$AN$11)+(AM123/12*10*$F123*$G123*$H123*$N123*$AN$12)</f>
        <v>0</v>
      </c>
      <c r="AO123" s="130">
        <v>1</v>
      </c>
      <c r="AP123" s="127">
        <f>(AO123/12*2*$E123*$G123*$H123*$N123*$AP$11)+(AO123/12*10*$F123*$G123*$H123*$N123*$AP$11)</f>
        <v>52830.753360000002</v>
      </c>
      <c r="AQ123" s="127">
        <v>0</v>
      </c>
      <c r="AR123" s="127">
        <v>0</v>
      </c>
      <c r="AS123" s="123"/>
      <c r="AT123" s="123">
        <f>(AS123/12*2*$E123*$G123*$H123*$M123*$AT$11)+(AS123/12*10*$F123*$G123*$H123*$M123*$AT$11)</f>
        <v>0</v>
      </c>
      <c r="AU123" s="123"/>
      <c r="AV123" s="126">
        <f>(AU123/12*2*$E123*$G123*$H123*$M123*$AV$11)+(AU123/12*10*$F123*$G123*$H123*$M123*$AV$12)</f>
        <v>0</v>
      </c>
      <c r="AW123" s="123"/>
      <c r="AX123" s="123">
        <f>(AW123/12*2*$E123*$G123*$H123*$M123*$AX$11)+(AW123/12*10*$F123*$G123*$H123*$M123*$AX$12)</f>
        <v>0</v>
      </c>
      <c r="AY123" s="131">
        <v>24</v>
      </c>
      <c r="AZ123" s="123">
        <f>(AY123/12*2*$E123*$G123*$H123*$N123*$AZ$11)+(AY123/12*10*$F123*$G123*$H123*$N123*$AZ$11)</f>
        <v>1267938.0806400001</v>
      </c>
      <c r="BA123" s="123"/>
      <c r="BB123" s="123">
        <f>(BA123/12*2*$E123*$G123*$H123*$N123*$BB$11)+(BA123/12*10*$F123*$G123*$H123*$N123*$BB$12)</f>
        <v>0</v>
      </c>
      <c r="BC123" s="123"/>
      <c r="BD123" s="126">
        <f>(BC123/12*2*$E123*$G123*$H123*$N123*$BD$11)+(BC123/12*10*$F123*$G123*$H123*$N123*$BD$12)</f>
        <v>0</v>
      </c>
      <c r="BE123" s="123"/>
      <c r="BF123" s="123">
        <f>(BE123/12*10*$F123*$G123*$H123*$N123*$BF$12)</f>
        <v>0</v>
      </c>
      <c r="BG123" s="123"/>
      <c r="BH123" s="123">
        <f>(BG123/12*2*$E123*$G123*$H123*$N123*$BH$11)+(BG123/12*10*$F123*$G123*$H123*$N123*$BH$11)</f>
        <v>0</v>
      </c>
      <c r="BI123" s="123">
        <v>3</v>
      </c>
      <c r="BJ123" s="126">
        <f>(BI123/12*2*$E123*$G123*$H123*$N123*$BJ$11)+(BI123/12*10*$F123*$G123*$H123*$N123*$BJ$11)</f>
        <v>172900.64735999997</v>
      </c>
      <c r="BK123" s="123"/>
      <c r="BL123" s="127">
        <f>(BK123/12*2*$E123*$G123*$H123*$N123*$BL$11)+(BK123/12*10*$F123*$G123*$H123*$N123*$BL$11)</f>
        <v>0</v>
      </c>
      <c r="BM123" s="123"/>
      <c r="BN123" s="123">
        <f>(BM123/12*2*$E123*$G123*$H123*$M123*$BN$11)+(BM123/12*10*$F123*$G123*$H123*$M123*$BN$11)</f>
        <v>0</v>
      </c>
      <c r="BO123" s="123"/>
      <c r="BP123" s="123">
        <f>(BO123/12*2*$E123*$G123*$H123*$M123*$BP$11)+(BO123/12*10*$F123*$G123*$H123*$M123*$BP$12)</f>
        <v>0</v>
      </c>
      <c r="BQ123" s="123"/>
      <c r="BR123" s="123">
        <f>(BQ123/12*2*$E123*$G123*$H123*$M123*$BR$11)+(BQ123/12*10*$F123*$G123*$H123*$M123*$BR$11)</f>
        <v>0</v>
      </c>
      <c r="BS123" s="123">
        <v>0</v>
      </c>
      <c r="BT123" s="123">
        <f>(BS123/12*2*$E123*$G123*$H123*$N123*$BT$11)+(BS123/12*10*$F123*$G123*$H123*$N123*$BT$11)</f>
        <v>0</v>
      </c>
      <c r="BU123" s="123"/>
      <c r="BV123" s="126">
        <f>(BU123/12*2*$E123*$G123*$H123*$M123*$BV$11)+(BU123/12*10*$F123*$G123*$H123*$M123*$BV$11)</f>
        <v>0</v>
      </c>
      <c r="BW123" s="123"/>
      <c r="BX123" s="123">
        <f>(BW123/12*2*$E123*$G123*$H123*$M123*$BX$11)+(BW123/12*10*$F123*$G123*$H123*$M123*$BX$11)</f>
        <v>0</v>
      </c>
      <c r="BY123" s="123"/>
      <c r="BZ123" s="123">
        <f>(BY123/12*2*$E123*$G123*$H123*$M123*$BZ$11)+(BY123/12*10*$F123*$G123*$H123*$M123*$BZ$11)</f>
        <v>0</v>
      </c>
      <c r="CA123" s="123"/>
      <c r="CB123" s="123">
        <f>(CA123/12*2*$E123*$G123*$H123*$M123*$CB$11)+(CA123/12*10*$F123*$G123*$H123*$M123*$CB$11)</f>
        <v>0</v>
      </c>
      <c r="CC123" s="123"/>
      <c r="CD123" s="123">
        <f>(CC123/12*2*$E123*$G123*$H123*$M123*$CD$11)+(CC123/12*10*$F123*$G123*$H123*$M123*$CD$11)</f>
        <v>0</v>
      </c>
      <c r="CE123" s="123"/>
      <c r="CF123" s="123">
        <f>(CE123/12*10*$F123*$G123*$H123*$N123*$CF$11)</f>
        <v>0</v>
      </c>
      <c r="CG123" s="132"/>
      <c r="CH123" s="123">
        <f>(CG123/12*2*$E123*$G123*$H123*$N123*$CH$11)+(CG123/12*10*$F123*$G123*$H123*$N123*$CH$11)</f>
        <v>0</v>
      </c>
      <c r="CI123" s="123"/>
      <c r="CJ123" s="127">
        <f>(CI123*$E123*$G123*$H123*$N123*CJ$11)</f>
        <v>0</v>
      </c>
      <c r="CK123" s="123">
        <v>2</v>
      </c>
      <c r="CL123" s="123">
        <f>(CK123/12*2*$E123*$G123*$H123*$N123*$CL$11)+(CK123/12*10*$F123*$G123*$H123*$N123*$CL$12)</f>
        <v>84913.464159999989</v>
      </c>
      <c r="CM123" s="130"/>
      <c r="CN123" s="123">
        <f>(CM123/12*2*$E123*$G123*$H123*$N123*$CN$11)+(CM123/12*10*$F123*$G123*$H123*$N123*$CN$11)</f>
        <v>0</v>
      </c>
      <c r="CO123" s="123"/>
      <c r="CP123" s="123">
        <f>(CO123/12*2*$E123*$G123*$H123*$N123*$CP$11)+(CO123/12*10*$F123*$G123*$H123*$N123*$CP$11)</f>
        <v>0</v>
      </c>
      <c r="CQ123" s="123"/>
      <c r="CR123" s="123">
        <f>(CQ123/12*2*$E123*$G123*$H123*$O123*$CR$11)+(CQ123/12*10*$F123*$G123*$H123*$O123*$CR$11)</f>
        <v>0</v>
      </c>
      <c r="CS123" s="123">
        <v>1</v>
      </c>
      <c r="CT123" s="133">
        <f>(CS123/12*2*$E123*$G123*$H123*$P123*$CT$11)+(CS123/12*10*$F123*$G123*$H123*$P123*$CT$11)</f>
        <v>73471.339899999992</v>
      </c>
      <c r="CU123" s="127"/>
      <c r="CV123" s="123">
        <f>(CU123*$E123*$G123*$H123*$M123*CV$11)/12*6+(CU123*$E123*$G123*$H123*1*CV$11)/12*6</f>
        <v>0</v>
      </c>
      <c r="CW123" s="126">
        <f t="shared" ref="CW123:CX126" si="192">SUM(Q123,S123,U123,W123,Y123,AA123,AC123,AE123,AG123,AM123,BQ123,AI123,AU123,CC123,AW123,AY123,AK123,BC123,AO123,AQ123,BE123,CE123,BG123,BI123,BK123,BS123,BM123,BO123,BU123,BW123,BY123,CA123,CG123,BA123,AS123,CI123,CK123,CM123,CO123,CQ123,CS123,CU123)</f>
        <v>105</v>
      </c>
      <c r="CX123" s="126">
        <f t="shared" si="192"/>
        <v>5720278.3642200008</v>
      </c>
    </row>
    <row r="124" spans="1:102" ht="30" x14ac:dyDescent="0.25">
      <c r="A124" s="91"/>
      <c r="B124" s="116">
        <v>96</v>
      </c>
      <c r="C124" s="168" t="s">
        <v>337</v>
      </c>
      <c r="D124" s="161" t="s">
        <v>338</v>
      </c>
      <c r="E124" s="95">
        <v>28004</v>
      </c>
      <c r="F124" s="96">
        <v>29405</v>
      </c>
      <c r="G124" s="119">
        <v>1.55</v>
      </c>
      <c r="H124" s="107">
        <v>1</v>
      </c>
      <c r="I124" s="108"/>
      <c r="J124" s="108"/>
      <c r="K124" s="108"/>
      <c r="L124" s="63"/>
      <c r="M124" s="120">
        <v>1.4</v>
      </c>
      <c r="N124" s="120">
        <v>1.68</v>
      </c>
      <c r="O124" s="120">
        <v>2.23</v>
      </c>
      <c r="P124" s="121">
        <v>2.57</v>
      </c>
      <c r="Q124" s="122">
        <v>0</v>
      </c>
      <c r="R124" s="123">
        <f>(Q124/12*2*$E124*$G124*$H124*$M124*$R$11)+(Q124/12*10*$F124*$G124*$H124*$M124*$R$11)</f>
        <v>0</v>
      </c>
      <c r="S124" s="124">
        <v>0</v>
      </c>
      <c r="T124" s="125">
        <f>(S124/12*2*$E124*$G124*$H124*$M124*$R$11)+(S124/12*10*$F124*$G124*$H124*$M124*$R$11)</f>
        <v>0</v>
      </c>
      <c r="U124" s="123">
        <v>50</v>
      </c>
      <c r="V124" s="123">
        <f>(U124/12*2*$E124*$G124*$H124*$M124*$V$11)+(U124/12*10*$F124*$G124*$H124*$M124*$V$12)</f>
        <v>4245041.7041666675</v>
      </c>
      <c r="W124" s="123"/>
      <c r="X124" s="126">
        <f>(W124/12*2*$E124*$G124*$H124*$M124*$X$11)+(W124/12*10*$F124*$G124*$H124*$M124*$X$12)</f>
        <v>0</v>
      </c>
      <c r="Y124" s="123"/>
      <c r="Z124" s="123">
        <f>(Y124/12*2*$E124*$G124*$H124*$M124*$Z$11)+(Y124/12*10*$F124*$G124*$H124*$M124*$Z$12)</f>
        <v>0</v>
      </c>
      <c r="AA124" s="123"/>
      <c r="AB124" s="123">
        <f>(AA124/12*2*$E124*$G124*$H124*$M124*$AB$11)+(AA124/12*10*$F124*$G124*$H124*$M124*$AB$11)</f>
        <v>0</v>
      </c>
      <c r="AC124" s="123"/>
      <c r="AD124" s="123"/>
      <c r="AE124" s="123"/>
      <c r="AF124" s="123">
        <f>(AE124/12*2*$E124*$G124*$H124*$M124*$AF$11)+(AE124/12*10*$F124*$G124*$H124*$M124*$AF$11)</f>
        <v>0</v>
      </c>
      <c r="AG124" s="135">
        <v>0</v>
      </c>
      <c r="AH124" s="136">
        <f>(AG124/12*2*$E124*$G124*$H124*$M124*$AH$11)+(AG124/12*10*$F124*$G124*$H124*$M124*$AH$11)</f>
        <v>0</v>
      </c>
      <c r="AI124" s="123"/>
      <c r="AJ124" s="123">
        <f t="shared" si="191"/>
        <v>0</v>
      </c>
      <c r="AK124" s="123"/>
      <c r="AL124" s="123">
        <f t="shared" ref="AL124:AL125" si="193">(AK124/12*2*$E124*$G124*$H124*$N124*$AL$11)+(AK124/12*5*$F124*$G124*$H124*$N124*$AL$12)+(AK124/12*5*$F124*$G124*$H124*$N124*$AL$13)</f>
        <v>0</v>
      </c>
      <c r="AM124" s="132"/>
      <c r="AN124" s="123">
        <f>(AM124/12*2*$E124*$G124*$H124*$N124*$AN$11)+(AM124/12*10*$F124*$G124*$H124*$N124*$AN$12)</f>
        <v>0</v>
      </c>
      <c r="AO124" s="130"/>
      <c r="AP124" s="127">
        <f>(AO124/12*2*$E124*$G124*$H124*$N124*$AP$11)+(AO124/12*10*$F124*$G124*$H124*$N124*$AP$11)</f>
        <v>0</v>
      </c>
      <c r="AQ124" s="127">
        <v>0</v>
      </c>
      <c r="AR124" s="127">
        <v>0</v>
      </c>
      <c r="AS124" s="123"/>
      <c r="AT124" s="123">
        <f>(AS124/12*2*$E124*$G124*$H124*$M124*$AT$11)+(AS124/12*10*$F124*$G124*$H124*$M124*$AT$11)</f>
        <v>0</v>
      </c>
      <c r="AU124" s="123"/>
      <c r="AV124" s="126">
        <f>(AU124/12*2*$E124*$G124*$H124*$M124*$AV$11)+(AU124/12*10*$F124*$G124*$H124*$M124*$AV$12)</f>
        <v>0</v>
      </c>
      <c r="AW124" s="123"/>
      <c r="AX124" s="123">
        <f>(AW124/12*2*$E124*$G124*$H124*$M124*$AX$11)+(AW124/12*10*$F124*$G124*$H124*$M124*$AX$12)</f>
        <v>0</v>
      </c>
      <c r="AY124" s="131">
        <v>5</v>
      </c>
      <c r="AZ124" s="123">
        <f>(AY124/12*2*$E124*$G124*$H124*$N124*$AZ$11)+(AY124/12*10*$F124*$G124*$H124*$N124*$AZ$11)</f>
        <v>417794.22300000006</v>
      </c>
      <c r="BA124" s="123"/>
      <c r="BB124" s="123">
        <f>(BA124/12*2*$E124*$G124*$H124*$N124*$BB$11)+(BA124/12*10*$F124*$G124*$H124*$N124*$BB$12)</f>
        <v>0</v>
      </c>
      <c r="BC124" s="123"/>
      <c r="BD124" s="126">
        <f>(BC124/12*2*$E124*$G124*$H124*$N124*$BD$11)+(BC124/12*10*$F124*$G124*$H124*$N124*$BD$12)</f>
        <v>0</v>
      </c>
      <c r="BE124" s="123"/>
      <c r="BF124" s="123">
        <f>(BE124/12*10*$F124*$G124*$H124*$N124*$BF$12)</f>
        <v>0</v>
      </c>
      <c r="BG124" s="123"/>
      <c r="BH124" s="123">
        <f>(BG124/12*2*$E124*$G124*$H124*$N124*$BH$11)+(BG124/12*10*$F124*$G124*$H124*$N124*$BH$11)</f>
        <v>0</v>
      </c>
      <c r="BI124" s="123"/>
      <c r="BJ124" s="126">
        <f>(BI124/12*2*$E124*$G124*$H124*$N124*$BJ$11)+(BI124/12*10*$F124*$G124*$H124*$N124*$BJ$11)</f>
        <v>0</v>
      </c>
      <c r="BK124" s="123"/>
      <c r="BL124" s="127">
        <f>(BK124/12*2*$E124*$G124*$H124*$N124*$BL$11)+(BK124/12*10*$F124*$G124*$H124*$N124*$BL$11)</f>
        <v>0</v>
      </c>
      <c r="BM124" s="123"/>
      <c r="BN124" s="123">
        <f>(BM124/12*2*$E124*$G124*$H124*$M124*$BN$11)+(BM124/12*10*$F124*$G124*$H124*$M124*$BN$11)</f>
        <v>0</v>
      </c>
      <c r="BO124" s="123"/>
      <c r="BP124" s="123">
        <f>(BO124/12*2*$E124*$G124*$H124*$M124*$BP$11)+(BO124/12*10*$F124*$G124*$H124*$M124*$BP$12)</f>
        <v>0</v>
      </c>
      <c r="BQ124" s="123"/>
      <c r="BR124" s="123">
        <f>(BQ124/12*2*$E124*$G124*$H124*$M124*$BR$11)+(BQ124/12*10*$F124*$G124*$H124*$M124*$BR$11)</f>
        <v>0</v>
      </c>
      <c r="BS124" s="123">
        <v>0</v>
      </c>
      <c r="BT124" s="123">
        <f>(BS124/12*2*$E124*$G124*$H124*$N124*$BT$11)+(BS124/12*10*$F124*$G124*$H124*$N124*$BT$11)</f>
        <v>0</v>
      </c>
      <c r="BU124" s="123"/>
      <c r="BV124" s="126">
        <f>(BU124/12*2*$E124*$G124*$H124*$M124*$BV$11)+(BU124/12*10*$F124*$G124*$H124*$M124*$BV$11)</f>
        <v>0</v>
      </c>
      <c r="BW124" s="123"/>
      <c r="BX124" s="123">
        <f>(BW124/12*2*$E124*$G124*$H124*$M124*$BX$11)+(BW124/12*10*$F124*$G124*$H124*$M124*$BX$11)</f>
        <v>0</v>
      </c>
      <c r="BY124" s="123"/>
      <c r="BZ124" s="123">
        <f>(BY124/12*2*$E124*$G124*$H124*$M124*$BZ$11)+(BY124/12*10*$F124*$G124*$H124*$M124*$BZ$11)</f>
        <v>0</v>
      </c>
      <c r="CA124" s="123"/>
      <c r="CB124" s="123">
        <f>(CA124/12*2*$E124*$G124*$H124*$M124*$CB$11)+(CA124/12*10*$F124*$G124*$H124*$M124*$CB$11)</f>
        <v>0</v>
      </c>
      <c r="CC124" s="123"/>
      <c r="CD124" s="123">
        <f>(CC124/12*2*$E124*$G124*$H124*$M124*$CD$11)+(CC124/12*10*$F124*$G124*$H124*$M124*$CD$11)</f>
        <v>0</v>
      </c>
      <c r="CE124" s="123"/>
      <c r="CF124" s="123">
        <f>(CE124/12*10*$F124*$G124*$H124*$N124*$CF$11)</f>
        <v>0</v>
      </c>
      <c r="CG124" s="132"/>
      <c r="CH124" s="123">
        <f>(CG124/12*2*$E124*$G124*$H124*$N124*$CH$11)+(CG124/12*10*$F124*$G124*$H124*$N124*$CH$11)</f>
        <v>0</v>
      </c>
      <c r="CI124" s="123"/>
      <c r="CJ124" s="127">
        <f>(CI124*$E124*$G124*$H124*$N124*CJ$11)</f>
        <v>0</v>
      </c>
      <c r="CK124" s="123"/>
      <c r="CL124" s="123">
        <f>(CK124/12*2*$E124*$G124*$H124*$N124*$CL$11)+(CK124/12*10*$F124*$G124*$H124*$N124*$CL$12)</f>
        <v>0</v>
      </c>
      <c r="CM124" s="130"/>
      <c r="CN124" s="123">
        <f>(CM124/12*2*$E124*$G124*$H124*$N124*$CN$11)+(CM124/12*10*$F124*$G124*$H124*$N124*$CN$11)</f>
        <v>0</v>
      </c>
      <c r="CO124" s="123"/>
      <c r="CP124" s="123">
        <f>(CO124/12*2*$E124*$G124*$H124*$N124*$CP$11)+(CO124/12*10*$F124*$G124*$H124*$N124*$CP$11)</f>
        <v>0</v>
      </c>
      <c r="CQ124" s="123"/>
      <c r="CR124" s="123">
        <f>(CQ124/12*2*$E124*$G124*$H124*$O124*$CR$11)+(CQ124/12*10*$F124*$G124*$H124*$O124*$CR$11)</f>
        <v>0</v>
      </c>
      <c r="CS124" s="123">
        <v>1</v>
      </c>
      <c r="CT124" s="133">
        <f>(CS124/12*2*$E124*$G124*$H124*$P124*$CT$11)+(CS124/12*10*$F124*$G124*$H124*$P124*$CT$11)</f>
        <v>116204.67024999998</v>
      </c>
      <c r="CU124" s="127"/>
      <c r="CV124" s="123">
        <f>(CU124*$E124*$G124*$H124*$M124*CV$11)/12*6+(CU124*$E124*$G124*$H124*1*CV$11)/12*6</f>
        <v>0</v>
      </c>
      <c r="CW124" s="126">
        <f t="shared" si="192"/>
        <v>56</v>
      </c>
      <c r="CX124" s="126">
        <f t="shared" si="192"/>
        <v>4779040.5974166682</v>
      </c>
    </row>
    <row r="125" spans="1:102" ht="30" x14ac:dyDescent="0.25">
      <c r="A125" s="91"/>
      <c r="B125" s="116">
        <v>97</v>
      </c>
      <c r="C125" s="117" t="s">
        <v>339</v>
      </c>
      <c r="D125" s="161" t="s">
        <v>340</v>
      </c>
      <c r="E125" s="95">
        <v>28004</v>
      </c>
      <c r="F125" s="96">
        <v>29405</v>
      </c>
      <c r="G125" s="119">
        <v>0.84</v>
      </c>
      <c r="H125" s="107">
        <v>1</v>
      </c>
      <c r="I125" s="108"/>
      <c r="J125" s="108"/>
      <c r="K125" s="108"/>
      <c r="L125" s="63"/>
      <c r="M125" s="120">
        <v>1.4</v>
      </c>
      <c r="N125" s="120">
        <v>1.68</v>
      </c>
      <c r="O125" s="120">
        <v>2.23</v>
      </c>
      <c r="P125" s="121">
        <v>2.57</v>
      </c>
      <c r="Q125" s="122">
        <v>25</v>
      </c>
      <c r="R125" s="123">
        <f>(Q125/12*2*$E125*$G125*$H125*$M125*$R$11)+(Q125/12*10*$F125*$G125*$H125*$M125*$R$11)</f>
        <v>943406.31000000017</v>
      </c>
      <c r="S125" s="124">
        <v>15</v>
      </c>
      <c r="T125" s="125">
        <f>(S125/12*2*$E125*$G125*$H125*$M125*$R$11)+(S125/12*10*$F125*$G125*$H125*$M125*$R$11)</f>
        <v>566043.78600000008</v>
      </c>
      <c r="U125" s="123">
        <v>90</v>
      </c>
      <c r="V125" s="123">
        <f>(U125/12*2*$E125*$G125*$H125*$M125*$V$11)+(U125/12*10*$F125*$G125*$H125*$M125*$V$12)</f>
        <v>4140969.7140000002</v>
      </c>
      <c r="W125" s="123"/>
      <c r="X125" s="126">
        <f>(W125/12*2*$E125*$G125*$H125*$M125*$X$11)+(W125/12*10*$F125*$G125*$H125*$M125*$X$12)</f>
        <v>0</v>
      </c>
      <c r="Y125" s="123"/>
      <c r="Z125" s="123">
        <f>(Y125/12*2*$E125*$G125*$H125*$M125*$Z$11)+(Y125/12*10*$F125*$G125*$H125*$M125*$Z$12)</f>
        <v>0</v>
      </c>
      <c r="AA125" s="123"/>
      <c r="AB125" s="123">
        <f>(AA125/12*2*$E125*$G125*$H125*$M125*$AB$11)+(AA125/12*10*$F125*$G125*$H125*$M125*$AB$11)</f>
        <v>0</v>
      </c>
      <c r="AC125" s="123"/>
      <c r="AD125" s="123"/>
      <c r="AE125" s="123">
        <v>56</v>
      </c>
      <c r="AF125" s="127">
        <f>(AE125/12*2*$E125*$G125*$H125*$M125*$AF$11)+(AE125/12*10*$F125*$G125*$H125*$M125*$AF$11)</f>
        <v>2113230.1343999999</v>
      </c>
      <c r="AG125" s="123">
        <v>3</v>
      </c>
      <c r="AH125" s="126">
        <f>(AG125/12*2*$E125*$G125*$H125*$M125*$AH$11)+(AG125/12*10*$F125*$G125*$H125*$M125*$AH$11)</f>
        <v>113208.75720000001</v>
      </c>
      <c r="AI125" s="130"/>
      <c r="AJ125" s="123">
        <f t="shared" si="191"/>
        <v>0</v>
      </c>
      <c r="AK125" s="123"/>
      <c r="AL125" s="123">
        <f t="shared" si="193"/>
        <v>0</v>
      </c>
      <c r="AM125" s="132"/>
      <c r="AN125" s="123">
        <f>(AM125/12*2*$E125*$G125*$H125*$N125*$AN$11)+(AM125/12*10*$F125*$G125*$H125*$N125*$AN$12)</f>
        <v>0</v>
      </c>
      <c r="AO125" s="130">
        <v>3</v>
      </c>
      <c r="AP125" s="127">
        <f>(AO125/12*2*$E125*$G125*$H125*$N125*$AP$11)+(AO125/12*10*$F125*$G125*$H125*$N125*$AP$11)</f>
        <v>135850.50864000001</v>
      </c>
      <c r="AQ125" s="127">
        <v>4</v>
      </c>
      <c r="AR125" s="127">
        <v>180409.08</v>
      </c>
      <c r="AS125" s="123"/>
      <c r="AT125" s="123">
        <f>(AS125/12*2*$E125*$G125*$H125*$M125*$AT$11)+(AS125/12*10*$F125*$G125*$H125*$M125*$AT$11)</f>
        <v>0</v>
      </c>
      <c r="AU125" s="123"/>
      <c r="AV125" s="126">
        <f>(AU125/12*2*$E125*$G125*$H125*$M125*$AV$11)+(AU125/12*10*$F125*$G125*$H125*$M125*$AV$12)</f>
        <v>0</v>
      </c>
      <c r="AW125" s="123"/>
      <c r="AX125" s="123">
        <f>(AW125/12*2*$E125*$G125*$H125*$M125*$AX$11)+(AW125/12*10*$F125*$G125*$H125*$M125*$AX$12)</f>
        <v>0</v>
      </c>
      <c r="AY125" s="123">
        <v>18</v>
      </c>
      <c r="AZ125" s="123">
        <f>(AY125/12*2*$E125*$G125*$H125*$N125*$AZ$11)+(AY125/12*10*$F125*$G125*$H125*$N125*$AZ$11)</f>
        <v>815103.05183999997</v>
      </c>
      <c r="BA125" s="123"/>
      <c r="BB125" s="123">
        <f>(BA125/12*2*$E125*$G125*$H125*$N125*$BB$11)+(BA125/12*10*$F125*$G125*$H125*$N125*$BB$12)</f>
        <v>0</v>
      </c>
      <c r="BC125" s="123"/>
      <c r="BD125" s="126">
        <f>(BC125/12*2*$E125*$G125*$H125*$N125*$BD$11)+(BC125/12*10*$F125*$G125*$H125*$N125*$BD$12)</f>
        <v>0</v>
      </c>
      <c r="BE125" s="123">
        <v>4</v>
      </c>
      <c r="BF125" s="123">
        <f>(BE125/12*10*$F125*$G125*$H125*$N125*$BF$12)</f>
        <v>138321.11999999997</v>
      </c>
      <c r="BG125" s="123">
        <v>2</v>
      </c>
      <c r="BH125" s="123">
        <f>(BG125/12*2*$E125*$G125*$H125*$N125*$BH$11)+(BG125/12*10*$F125*$G125*$H125*$N125*$BH$11)</f>
        <v>74100.277439999991</v>
      </c>
      <c r="BI125" s="123">
        <v>7</v>
      </c>
      <c r="BJ125" s="126">
        <f>(BI125/12*2*$E125*$G125*$H125*$N125*$BJ$11)+(BI125/12*10*$F125*$G125*$H125*$N125*$BJ$11)</f>
        <v>345801.29471999995</v>
      </c>
      <c r="BK125" s="123">
        <v>10</v>
      </c>
      <c r="BL125" s="127">
        <f>(BK125/12*2*$E125*$G125*$H125*$N125*$BL$11)+(BK125/12*10*$F125*$G125*$H125*$N125*$BL$11)</f>
        <v>494001.84959999996</v>
      </c>
      <c r="BM125" s="123"/>
      <c r="BN125" s="123">
        <f>(BM125/12*2*$E125*$G125*$H125*$M125*$BN$11)+(BM125/12*10*$F125*$G125*$H125*$M125*$BN$11)</f>
        <v>0</v>
      </c>
      <c r="BO125" s="123"/>
      <c r="BP125" s="123">
        <f>(BO125/12*2*$E125*$G125*$H125*$M125*$BP$11)+(BO125/12*10*$F125*$G125*$H125*$M125*$BP$12)</f>
        <v>0</v>
      </c>
      <c r="BQ125" s="123"/>
      <c r="BR125" s="123">
        <f>(BQ125/12*2*$E125*$G125*$H125*$M125*$BR$11)+(BQ125/12*10*$F125*$G125*$H125*$M125*$BR$11)</f>
        <v>0</v>
      </c>
      <c r="BS125" s="123">
        <v>20</v>
      </c>
      <c r="BT125" s="123">
        <f>(BS125/12*2*$E125*$G125*$H125*$N125*$BT$11)+(BS125/12*10*$F125*$G125*$H125*$N125*$BT$11)</f>
        <v>823336.41599999997</v>
      </c>
      <c r="BU125" s="123"/>
      <c r="BV125" s="126">
        <f>(BU125/12*2*$E125*$G125*$H125*$M125*$BV$11)+(BU125/12*10*$F125*$G125*$H125*$M125*$BV$11)</f>
        <v>0</v>
      </c>
      <c r="BW125" s="123"/>
      <c r="BX125" s="123">
        <f>(BW125/12*2*$E125*$G125*$H125*$M125*$BX$11)+(BW125/12*10*$F125*$G125*$H125*$M125*$BX$11)</f>
        <v>0</v>
      </c>
      <c r="BY125" s="123">
        <v>9</v>
      </c>
      <c r="BZ125" s="123">
        <f>(BY125/12*2*$E125*$G125*$H125*$M125*$BZ$11)+(BY125/12*10*$F125*$G125*$H125*$M125*$BZ$11)</f>
        <v>308751.15599999996</v>
      </c>
      <c r="CA125" s="123">
        <v>3</v>
      </c>
      <c r="CB125" s="123">
        <f>(CA125/12*2*$E125*$G125*$H125*$M125*$CB$11)+(CA125/12*10*$F125*$G125*$H125*$M125*$CB$11)</f>
        <v>123500.46239999999</v>
      </c>
      <c r="CC125" s="123"/>
      <c r="CD125" s="123">
        <f>(CC125/12*2*$E125*$G125*$H125*$M125*$CD$11)+(CC125/12*10*$F125*$G125*$H125*$M125*$CD$11)</f>
        <v>0</v>
      </c>
      <c r="CE125" s="123">
        <v>9</v>
      </c>
      <c r="CF125" s="123">
        <f>(CE125/12*10*$F125*$G125*$H125*$N125*$CF$11)</f>
        <v>311222.51999999996</v>
      </c>
      <c r="CG125" s="132"/>
      <c r="CH125" s="123">
        <f>(CG125/12*2*$E125*$G125*$H125*$N125*$CH$11)+(CG125/12*10*$F125*$G125*$H125*$N125*$CH$11)</f>
        <v>0</v>
      </c>
      <c r="CI125" s="123"/>
      <c r="CJ125" s="127">
        <f>(CI125*$E125*$G125*$H125*$N125*CJ$11)</f>
        <v>0</v>
      </c>
      <c r="CK125" s="123"/>
      <c r="CL125" s="123">
        <f>(CK125/12*2*$E125*$G125*$H125*$N125*$CL$11)+(CK125/12*10*$F125*$G125*$H125*$N125*$CL$12)</f>
        <v>0</v>
      </c>
      <c r="CM125" s="130"/>
      <c r="CN125" s="123">
        <f>(CM125/12*2*$E125*$G125*$H125*$N125*$CN$11)+(CM125/12*10*$F125*$G125*$H125*$N125*$CN$11)</f>
        <v>0</v>
      </c>
      <c r="CO125" s="123"/>
      <c r="CP125" s="123">
        <f>(CO125/12*2*$E125*$G125*$H125*$N125*$CP$11)+(CO125/12*10*$F125*$G125*$H125*$N125*$CP$11)</f>
        <v>0</v>
      </c>
      <c r="CQ125" s="123"/>
      <c r="CR125" s="123">
        <f>(CQ125/12*2*$E125*$G125*$H125*$O125*$CR$11)+(CQ125/12*10*$F125*$G125*$H125*$O125*$CR$11)</f>
        <v>0</v>
      </c>
      <c r="CS125" s="123"/>
      <c r="CT125" s="133">
        <f>(CS125/12*2*$E125*$G125*$H125*$P125*$CT$11)+(CS125/12*10*$F125*$G125*$H125*$P125*$CT$11)</f>
        <v>0</v>
      </c>
      <c r="CU125" s="127"/>
      <c r="CV125" s="123">
        <f>(CU125*$E125*$G125*$H125*$M125*CV$11)/12*6+(CU125*$E125*$G125*$H125*1*CV$11)/12*6</f>
        <v>0</v>
      </c>
      <c r="CW125" s="126">
        <f t="shared" si="192"/>
        <v>278</v>
      </c>
      <c r="CX125" s="126">
        <f t="shared" si="192"/>
        <v>11627256.438239999</v>
      </c>
    </row>
    <row r="126" spans="1:102" ht="32.25" customHeight="1" x14ac:dyDescent="0.25">
      <c r="A126" s="91"/>
      <c r="B126" s="116">
        <v>98</v>
      </c>
      <c r="C126" s="117" t="s">
        <v>341</v>
      </c>
      <c r="D126" s="161" t="s">
        <v>342</v>
      </c>
      <c r="E126" s="95">
        <v>28004</v>
      </c>
      <c r="F126" s="96">
        <v>29405</v>
      </c>
      <c r="G126" s="119">
        <v>1.33</v>
      </c>
      <c r="H126" s="107">
        <v>1</v>
      </c>
      <c r="I126" s="110">
        <v>0.95</v>
      </c>
      <c r="J126" s="108"/>
      <c r="K126" s="108"/>
      <c r="L126" s="63"/>
      <c r="M126" s="120">
        <v>1.4</v>
      </c>
      <c r="N126" s="120">
        <v>1.68</v>
      </c>
      <c r="O126" s="120">
        <v>2.23</v>
      </c>
      <c r="P126" s="121">
        <v>2.57</v>
      </c>
      <c r="Q126" s="122">
        <v>300</v>
      </c>
      <c r="R126" s="123">
        <f>(Q126/12*2*$E126*$G126*$H126*$M126*$R$11)+(Q126/12*10*$F126*$G126*$I126*$M126*$R$11)</f>
        <v>17171878.377500001</v>
      </c>
      <c r="S126" s="124">
        <v>33</v>
      </c>
      <c r="T126" s="125">
        <f>(S126/12*2*$E126*$G126*$H126*$M126*$R$11)+(S126/12*10*$F126*$G126*$I126*$M126*$R$11)</f>
        <v>1888906.6215249998</v>
      </c>
      <c r="U126" s="123">
        <v>5</v>
      </c>
      <c r="V126" s="123">
        <f>(U126/12*2*$E126*$G126*$H126*$M126*$V$11)+(U126/12*10*$F126*$G126*$I126*$M126*$V$12)</f>
        <v>349081.06843749998</v>
      </c>
      <c r="W126" s="123"/>
      <c r="X126" s="126">
        <f>(W126/12*2*$E126*$G126*$H126*$M126*$X$11)+(W126/12*10*$F126*$G126*$I126*$M126*$X$12)</f>
        <v>0</v>
      </c>
      <c r="Y126" s="123"/>
      <c r="Z126" s="123">
        <f>(Y126/12*2*$E126*$G126*$H126*$M126*$Z$11)+(Y126/12*10*$F126*$G126*$I126*$M126*$Z$12)</f>
        <v>0</v>
      </c>
      <c r="AA126" s="123"/>
      <c r="AB126" s="123">
        <f>(AA126/12*2*$E126*$G126*$H126*$M126*$AB$11)+(AA126/12*10*$F126*$G126*$I126*$M126*$AB$11)</f>
        <v>0</v>
      </c>
      <c r="AC126" s="123"/>
      <c r="AD126" s="123"/>
      <c r="AE126" s="123">
        <f>4+1</f>
        <v>5</v>
      </c>
      <c r="AF126" s="123">
        <f>(AE126/12*2*$E126*$G126*$H126*$M126*$AF$11)+(AE126/12*10*$F126*$G126*$I126*$M126*$AF$11)</f>
        <v>286197.97295833332</v>
      </c>
      <c r="AG126" s="135">
        <v>0</v>
      </c>
      <c r="AH126" s="136">
        <f>(AG126/12*2*$E126*$G126*$H126*$M126*$AH$11)+(AG126/12*10*$F126*$G126*$I126*$M126*$AH$11)</f>
        <v>0</v>
      </c>
      <c r="AI126" s="123"/>
      <c r="AJ126" s="123">
        <f>(AI126/12*2*$E126*$G126*$H126*$M126*$AJ$11)+(AI126/12*5*$F126*$G126*$I126*$M126*$AJ$12)+(AI126/12*5*$F126*$G126*$I126*$M126*$AJ$13)</f>
        <v>0</v>
      </c>
      <c r="AK126" s="123">
        <v>20</v>
      </c>
      <c r="AL126" s="123">
        <f>(AK126/12*2*$E126*$G126*$H126*$N126*$AL$11)+(AK126/12*5*$F126*$G126*$I126*$N126*$AL$12)+(AK126/12*5*$F126*$G126*$I126*$N126*$AL$13)</f>
        <v>1613120.1456999998</v>
      </c>
      <c r="AM126" s="132"/>
      <c r="AN126" s="123">
        <f>(AM126/12*2*$E126*$G126*$H126*$N126*$AN$11)+(AM126/12*10*$F126*$G126*$I126*$N126*$AN$12)</f>
        <v>0</v>
      </c>
      <c r="AO126" s="130">
        <v>3</v>
      </c>
      <c r="AP126" s="127">
        <f>(AO126/12*2*$E126*$G126*$H126*$N126*$AP$11)+(AO126/12*10*$F126*$G126*$I126*$N126*$AP$11)</f>
        <v>206062.54053</v>
      </c>
      <c r="AQ126" s="127">
        <v>0</v>
      </c>
      <c r="AR126" s="127">
        <v>0</v>
      </c>
      <c r="AS126" s="123"/>
      <c r="AT126" s="123"/>
      <c r="AU126" s="123"/>
      <c r="AV126" s="126"/>
      <c r="AW126" s="123"/>
      <c r="AX126" s="123">
        <f>(AW126/12*2*$E126*$G126*$H126*$M126*$AX$11)+(AW126/12*10*$F126*$G126*$I126*$M126*$AX$12)</f>
        <v>0</v>
      </c>
      <c r="AY126" s="123">
        <v>12</v>
      </c>
      <c r="AZ126" s="123">
        <f>(AY126/12*2*$E126*$G126*$H126*$N126*$AZ$11)+(AY126/12*10*$F126*$G126*$I126*$N126*$AZ$11)</f>
        <v>824250.16211999999</v>
      </c>
      <c r="BA126" s="123"/>
      <c r="BB126" s="123">
        <f>(BA126/12*2*$E126*$G126*$H126*$N126*$BB$11)+(BA126/12*10*$F126*$G126*$I126*$N126*$BB$12)</f>
        <v>0</v>
      </c>
      <c r="BC126" s="123"/>
      <c r="BD126" s="126"/>
      <c r="BE126" s="123"/>
      <c r="BF126" s="123">
        <f>(BE126/12*10*$F126*$G126*$I126*$N126*$BF$12)</f>
        <v>0</v>
      </c>
      <c r="BG126" s="123"/>
      <c r="BH126" s="123">
        <f>(BG126/12*2*$E126*$G126*$H126*$N126*$BH$11)+(BG126/12*10*$F126*$G126*$I126*$N126*$BH$11)</f>
        <v>0</v>
      </c>
      <c r="BI126" s="123"/>
      <c r="BJ126" s="126">
        <f>(BI126/12*2*$E126*$G126*$H126*$N126*$BJ$11)+(BI126/12*10*$F126*$G126*$I126*$N126*$BJ$11)</f>
        <v>0</v>
      </c>
      <c r="BK126" s="123">
        <v>10</v>
      </c>
      <c r="BL126" s="127">
        <f>(BK126/12*2*$E126*$G126*$H126*$N126*$BL$11)+(BK126/12*10*$F126*$G126*$I126*$N126*$BL$11)</f>
        <v>749318.32919999992</v>
      </c>
      <c r="BM126" s="123"/>
      <c r="BN126" s="123">
        <f>(BM126/12*2*$E126*$G126*$H126*$M126*$BN$11)+(BM126/12*10*$F126*$G126*$I126*$M126*$BN$11)</f>
        <v>0</v>
      </c>
      <c r="BO126" s="123">
        <v>1</v>
      </c>
      <c r="BP126" s="123">
        <f>(BO126*$F126*$G126*$I126*$M126*$BP$12)</f>
        <v>46813.054049999999</v>
      </c>
      <c r="BQ126" s="123"/>
      <c r="BR126" s="123">
        <f>(BQ126/12*2*$E126*$G126*$H126*$M126*$BR$11)+(BQ126/12*10*$F126*$G126*$I126*$M126*$BR$11)</f>
        <v>0</v>
      </c>
      <c r="BS126" s="123">
        <v>0</v>
      </c>
      <c r="BT126" s="123">
        <f>(BS126/12*2*$E126*$G126*$H126*$N126*$BT$11)+(BS126/12*10*$F126*$G126*$I126*$N126*$BT$11)</f>
        <v>0</v>
      </c>
      <c r="BU126" s="123"/>
      <c r="BV126" s="126">
        <f>(BU126/12*2*$E126*$G126*$H126*$M126*$BV$11)+(BU126/12*10*$F126*$G126*$I126*$M126*$BV$11)</f>
        <v>0</v>
      </c>
      <c r="BW126" s="123"/>
      <c r="BX126" s="123">
        <f>(BW126/12*2*$E126*$G126*$H126*$M126*$BX$11)+(BW126/12*10*$F126*$G126*$I126*$M126*$BX$11)</f>
        <v>0</v>
      </c>
      <c r="BY126" s="123">
        <v>2</v>
      </c>
      <c r="BZ126" s="123">
        <f>(BY126/12*2*$E126*$G126*$H126*$M126*$BZ$11)+(BY126/12*10*$F126*$G126*$I126*$M126*$BZ$11)</f>
        <v>104071.99016666666</v>
      </c>
      <c r="CA126" s="123"/>
      <c r="CB126" s="123">
        <f>(CA126/12*2*$E126*$G126*$H126*$M126*$CB$11)+(CA126/12*10*$F126*$G126*$I126*$M126*$CB$11)</f>
        <v>0</v>
      </c>
      <c r="CC126" s="123"/>
      <c r="CD126" s="123">
        <f>(CC126/12*2*$E126*$G126*$H126*$M126*$CD$11)+(CC126/12*10*$F126*$G126*$I126*$M126*$CD$11)</f>
        <v>0</v>
      </c>
      <c r="CE126" s="123"/>
      <c r="CF126" s="123">
        <f>(CE126/12*10*$F126*$G126*$I126*$N126*$CF$11)</f>
        <v>0</v>
      </c>
      <c r="CG126" s="132"/>
      <c r="CH126" s="123">
        <f>(CG126/12*2*$E126*$G126*$H126*$N126*$CH$11)+(CG126/12*10*$F126*$G126*$I126*$N126*$CH$11)</f>
        <v>0</v>
      </c>
      <c r="CI126" s="123"/>
      <c r="CJ126" s="127"/>
      <c r="CK126" s="123"/>
      <c r="CL126" s="123">
        <f>(CK126/12*2*$E126*$G126*$H126*$N126*$CL$11)+(CK126/12*10*$F126*$G126*$I126*$N126*$CL$12)</f>
        <v>0</v>
      </c>
      <c r="CM126" s="130"/>
      <c r="CN126" s="123">
        <f>(CM126/12*2*$E126*$G126*$H126*$N126*$CN$11)+(CM126/12*10*$F126*$G126*$I126*$N126*$CN$11)</f>
        <v>0</v>
      </c>
      <c r="CO126" s="123"/>
      <c r="CP126" s="123">
        <f>(CO126/12*2*$E126*$G126*$H126*$N126*$CP$11)+(CO126/12*10*$F126*$G126*$I126*$N126*$CP$11)</f>
        <v>0</v>
      </c>
      <c r="CQ126" s="123"/>
      <c r="CR126" s="123">
        <f>(CQ126/12*2*$E126*$G126*$H126*$O126*$CR$11)+(CQ126/12*10*$F126*$G126*$I126*$O126*$CR$11)</f>
        <v>0</v>
      </c>
      <c r="CS126" s="123"/>
      <c r="CT126" s="133">
        <f>(CS126/12*2*$E126*$G126*$H126*$P126*$CT$11)+(CS126/12*10*$F126*$G126*$I126*$P126*$CT$11)</f>
        <v>0</v>
      </c>
      <c r="CU126" s="127"/>
      <c r="CV126" s="123"/>
      <c r="CW126" s="126">
        <f t="shared" si="192"/>
        <v>391</v>
      </c>
      <c r="CX126" s="126">
        <f t="shared" si="192"/>
        <v>23239700.262187503</v>
      </c>
    </row>
    <row r="127" spans="1:102" ht="18.75" customHeight="1" x14ac:dyDescent="0.25">
      <c r="A127" s="91"/>
      <c r="B127" s="116">
        <v>99</v>
      </c>
      <c r="C127" s="117" t="s">
        <v>343</v>
      </c>
      <c r="D127" s="161" t="s">
        <v>344</v>
      </c>
      <c r="E127" s="95">
        <v>28004</v>
      </c>
      <c r="F127" s="96">
        <v>29405</v>
      </c>
      <c r="G127" s="119">
        <v>0.96</v>
      </c>
      <c r="H127" s="107">
        <v>1</v>
      </c>
      <c r="I127" s="203"/>
      <c r="J127" s="203"/>
      <c r="K127" s="203"/>
      <c r="L127" s="63"/>
      <c r="M127" s="120">
        <v>1.4</v>
      </c>
      <c r="N127" s="120">
        <v>1.68</v>
      </c>
      <c r="O127" s="120">
        <v>2.23</v>
      </c>
      <c r="P127" s="121">
        <v>2.57</v>
      </c>
      <c r="Q127" s="122">
        <v>30</v>
      </c>
      <c r="R127" s="123">
        <f>(Q127/12*2*$E127*$G127*$H127*$M127)+(Q127/12*10*$F127*$G127*$H127*$M127)</f>
        <v>1176194.8799999999</v>
      </c>
      <c r="S127" s="124">
        <v>179</v>
      </c>
      <c r="T127" s="125">
        <f>(S127/12*2*$E127*$G127*$H127*$M127)+(S127/12*10*$F127*$G127*$H127*$M127)</f>
        <v>7017962.7839999991</v>
      </c>
      <c r="U127" s="123">
        <v>180</v>
      </c>
      <c r="V127" s="123">
        <f>(U127/12*2*$E127*$G127*$H127*$M127)+(U127/12*10*$F127*$G127*$H127*$M127)</f>
        <v>7057169.2799999993</v>
      </c>
      <c r="W127" s="123"/>
      <c r="X127" s="123">
        <f>(W127/12*2*$E127*$G127*$H127*$M127)+(W127/12*10*$F127*$G127*$H127*$M127)</f>
        <v>0</v>
      </c>
      <c r="Y127" s="123"/>
      <c r="Z127" s="123">
        <f>(Y127/12*2*$E127*$G127*$H127*$M127)+(Y127/12*10*$F127*$G127*$H127*$M127)</f>
        <v>0</v>
      </c>
      <c r="AA127" s="123"/>
      <c r="AB127" s="123">
        <f>(AA127/12*2*$E127*$G127*$H127*$M127)+(AA127/12*10*$F127*$G127*$H127*$M127)</f>
        <v>0</v>
      </c>
      <c r="AC127" s="123"/>
      <c r="AD127" s="123"/>
      <c r="AE127" s="123">
        <v>66</v>
      </c>
      <c r="AF127" s="127">
        <f>(AE127/12*2*$E127*$G127*$H127*$M127)+(AE127/12*10*$F127*$G127*$H127*$M127)</f>
        <v>2587628.736</v>
      </c>
      <c r="AG127" s="123">
        <v>2</v>
      </c>
      <c r="AH127" s="123">
        <f>(AG127/12*2*$E127*$G127*$H127*$M127)+(AG127/12*10*$F127*$G127*$H127*$M127)</f>
        <v>78412.991999999984</v>
      </c>
      <c r="AI127" s="130">
        <v>1</v>
      </c>
      <c r="AJ127" s="123">
        <f>(AI127/12*2*$E127*$G127*$H127*$M127)+(AI127/12*10*$F127*$G127*$H127*$M127)</f>
        <v>39206.495999999992</v>
      </c>
      <c r="AK127" s="123">
        <v>20</v>
      </c>
      <c r="AL127" s="126">
        <f>(AK127/12*2*$E127*$G127*$H127*$N127)+(AK127/12*10*$F127*$G127*$H127*$N127)</f>
        <v>940955.90399999998</v>
      </c>
      <c r="AM127" s="132"/>
      <c r="AN127" s="123">
        <f>(AM127/12*2*$E127*$G127*$H127*$N127)+(AM127/12*10*$F127*$G127*$H127*$N127)</f>
        <v>0</v>
      </c>
      <c r="AO127" s="130">
        <v>1</v>
      </c>
      <c r="AP127" s="123">
        <f>(AO127/12*2*$E127*$G127*$H127*$N127)+(AO127/12*10*$F127*$G127*$H127*$N127)</f>
        <v>47047.795199999993</v>
      </c>
      <c r="AQ127" s="123">
        <v>5</v>
      </c>
      <c r="AR127" s="123">
        <v>189697.52</v>
      </c>
      <c r="AS127" s="123"/>
      <c r="AT127" s="123"/>
      <c r="AU127" s="123"/>
      <c r="AV127" s="123"/>
      <c r="AW127" s="123">
        <v>6</v>
      </c>
      <c r="AX127" s="123">
        <f>(AW127/12*2*$E127*$G127*$H127*$M127)+(AW127/12*10*$F127*$G127*$H127*$M127)</f>
        <v>235238.97599999997</v>
      </c>
      <c r="AY127" s="123">
        <v>108</v>
      </c>
      <c r="AZ127" s="123">
        <f>(AY127/12*2*$E127*$G127*$H127*$N127)+(AY127/12*10*$F127*$G127*$H127*$N127)</f>
        <v>5081161.8816</v>
      </c>
      <c r="BA127" s="123">
        <v>30</v>
      </c>
      <c r="BB127" s="123">
        <f>(BA127/12*2*$E127*$G127*$H127*$N127)+(BA127/12*10*$F127*$G127*$H127*$N127)</f>
        <v>1411433.8559999999</v>
      </c>
      <c r="BC127" s="123"/>
      <c r="BD127" s="123">
        <f>(BC127/12*2*$E127*$G127*$H127*$N127)+(BC127/12*10*$F127*$G127*$H127*$N127)</f>
        <v>0</v>
      </c>
      <c r="BE127" s="123">
        <v>12</v>
      </c>
      <c r="BF127" s="123">
        <f>(BE127/12*10*$F127*$G127*$H127*$N127)</f>
        <v>474243.83999999997</v>
      </c>
      <c r="BG127" s="123">
        <v>6</v>
      </c>
      <c r="BH127" s="123">
        <f>(BG127/12*2*$E127*$G127*$H127*$N127)+(BG127/12*10*$F127*$G127*$H127*$N127)</f>
        <v>282286.77119999996</v>
      </c>
      <c r="BI127" s="123">
        <v>12</v>
      </c>
      <c r="BJ127" s="123">
        <f>(BI127/12*2*$E127*$G127*$H127*$N127)+(BI127/12*10*$F127*$G127*$H127*$N127)</f>
        <v>564573.54239999992</v>
      </c>
      <c r="BK127" s="123">
        <v>35</v>
      </c>
      <c r="BL127" s="123">
        <f>(BK127/12*2*$E127*$G127*$H127*$N127)+(BK127/12*10*$F127*$G127*$H127*$N127)</f>
        <v>1646672.8319999997</v>
      </c>
      <c r="BM127" s="123"/>
      <c r="BN127" s="123">
        <f>(BM127/12*2*$E127*$G127*$H127*$M127)+(BM127/12*10*$F127*$G127*$H127*$M127)</f>
        <v>0</v>
      </c>
      <c r="BO127" s="123"/>
      <c r="BP127" s="123">
        <f>(BO127/12*2*$E127*$G127*$H127*$M127)+(BO127/12*10*$F127*$G127*$H127*$M127)</f>
        <v>0</v>
      </c>
      <c r="BQ127" s="123"/>
      <c r="BR127" s="123">
        <f>(BQ127/12*2*$E127*$G127*$H127*$M127)+(BQ127/12*10*$F127*$G127*$H127*$M127)</f>
        <v>0</v>
      </c>
      <c r="BS127" s="123">
        <v>10</v>
      </c>
      <c r="BT127" s="123">
        <f>(BS127/12*2*$E127*$G127*$H127*$N127)+(BS127/12*10*$F127*$G127*$H127*$N127)</f>
        <v>470477.95199999999</v>
      </c>
      <c r="BU127" s="123"/>
      <c r="BV127" s="123">
        <f>(BU127/12*2*$E127*$G127*$H127*$M127)+(BU127/12*10*$F127*$G127*$H127*$M127)</f>
        <v>0</v>
      </c>
      <c r="BW127" s="123"/>
      <c r="BX127" s="123">
        <f>(BW127/12*2*$E127*$G127*$H127*$M127)+(BW127/12*10*$F127*$G127*$H127*$M127)</f>
        <v>0</v>
      </c>
      <c r="BY127" s="123">
        <v>12</v>
      </c>
      <c r="BZ127" s="123">
        <f>(BY127/12*2*$E127*$G127*$H127*$M127)+(BY127/12*10*$F127*$G127*$H127*$M127)</f>
        <v>470477.95199999993</v>
      </c>
      <c r="CA127" s="123">
        <v>1</v>
      </c>
      <c r="CB127" s="123">
        <f>(CA127/12*2*$E127*$G127*$H127*$M127)+(CA127/12*10*$F127*$G127*$H127*$M127)</f>
        <v>39206.495999999992</v>
      </c>
      <c r="CC127" s="123">
        <v>3</v>
      </c>
      <c r="CD127" s="123">
        <f>(CC127/12*2*$E127*$G127*$H127*$M127)+(CC127/12*10*$F127*$G127*$H127*$M127)</f>
        <v>117619.48799999998</v>
      </c>
      <c r="CE127" s="123"/>
      <c r="CF127" s="123">
        <f>(CE127/12*10*$F127*$G127*$H127*$N127)</f>
        <v>0</v>
      </c>
      <c r="CG127" s="132"/>
      <c r="CH127" s="123">
        <f>(CG127/12*2*$E127*$G127*$H127*$N127)+(CG127/12*10*$F127*$G127*$H127*$N127)</f>
        <v>0</v>
      </c>
      <c r="CI127" s="123"/>
      <c r="CJ127" s="127">
        <f>(CI127*$E127*$G127*$H127*$N127)</f>
        <v>0</v>
      </c>
      <c r="CK127" s="123"/>
      <c r="CL127" s="123">
        <f>(CK127/12*2*$E127*$G127*$H127*$N127)+(CK127/12*10*$F127*$G127*$H127*$N127)</f>
        <v>0</v>
      </c>
      <c r="CM127" s="130"/>
      <c r="CN127" s="123">
        <f>(CM127/12*2*$E127*$G127*$H127*$N127)+(CM127/12*10*$F127*$G127*$H127*$N127)</f>
        <v>0</v>
      </c>
      <c r="CO127" s="123"/>
      <c r="CP127" s="123">
        <f>(CO127/12*2*$E127*$G127*$H127*$N127)+(CO127/12*10*$F127*$G127*$H127*$N127)</f>
        <v>0</v>
      </c>
      <c r="CQ127" s="123"/>
      <c r="CR127" s="123">
        <f>(CQ127/12*2*$E127*$G127*$H127*$O127)+(CQ127/12*10*$F127*$G127*$H127*$O127)</f>
        <v>0</v>
      </c>
      <c r="CS127" s="123"/>
      <c r="CT127" s="127">
        <f>(CS127/12*2*$E127*$G127*$H127*$P127)+(CS127/12*10*$F127*$G127*$H127*$P127)</f>
        <v>0</v>
      </c>
      <c r="CU127" s="127"/>
      <c r="CV127" s="127"/>
      <c r="CW127" s="126">
        <f>SUM(Q127,S127,U127,W127,Y127,AA127,AC127,AE127,AG127,AM127,BQ127,AI127,AU127,CC127,AW127,AY127,AK127,BC127,AO127,AQ127,BE127,CE127,BG127,BI127,BK127,BS127,BM127,BO127,BU127,BW127,BY127,CA127,CG127,BA127,AS127,CI127,CK127,CM127,CO127,CQ127,CS127,CU127)</f>
        <v>719</v>
      </c>
      <c r="CX127" s="126">
        <f>SUM(R127,T127,V127,X127,Z127,AB127,AD127,AF127,AH127,AN127,BR127,AJ127,AV127,CD127,AX127,AZ127,AL127,BD127,AP127,AR127,BF127,CF127,BH127,BJ127,BL127,BT127,BN127,BP127,BV127,BX127,BZ127,CB127,CH127,BB127,AT127,CJ127,CL127,CN127,CP127,CR127,CT127,CV127)</f>
        <v>29927669.974399995</v>
      </c>
    </row>
    <row r="128" spans="1:102" ht="15.75" customHeight="1" x14ac:dyDescent="0.25">
      <c r="A128" s="91"/>
      <c r="B128" s="116">
        <v>100</v>
      </c>
      <c r="C128" s="117" t="s">
        <v>345</v>
      </c>
      <c r="D128" s="161" t="s">
        <v>346</v>
      </c>
      <c r="E128" s="95">
        <v>28004</v>
      </c>
      <c r="F128" s="96">
        <v>29405</v>
      </c>
      <c r="G128" s="107">
        <v>2.2999999999999998</v>
      </c>
      <c r="H128" s="107">
        <v>1</v>
      </c>
      <c r="I128" s="108"/>
      <c r="J128" s="108"/>
      <c r="K128" s="108"/>
      <c r="L128" s="63"/>
      <c r="M128" s="120">
        <v>1.4</v>
      </c>
      <c r="N128" s="120">
        <v>1.68</v>
      </c>
      <c r="O128" s="120">
        <v>2.23</v>
      </c>
      <c r="P128" s="121">
        <v>2.57</v>
      </c>
      <c r="Q128" s="122">
        <v>0</v>
      </c>
      <c r="R128" s="123">
        <f>(Q128/12*2*$E128*$G128*$H128*$M128*$R$11)+(Q128/12*10*$F128*$G128*$H128*$M128*$R$11)</f>
        <v>0</v>
      </c>
      <c r="S128" s="124"/>
      <c r="T128" s="125">
        <f>(S128/12*2*$E128*$G128*$H128*$M128*$R$11)+(S128/12*10*$F128*$G128*$H128*$M128*$R$11)</f>
        <v>0</v>
      </c>
      <c r="U128" s="123">
        <v>50</v>
      </c>
      <c r="V128" s="123">
        <f>(U128/12*2*$E128*$G128*$H128*$M128*$V$11)+(U128/12*10*$F128*$G128*$H128*$M128*$V$12)</f>
        <v>6299094.1416666675</v>
      </c>
      <c r="W128" s="123"/>
      <c r="X128" s="126">
        <f>(W128/12*2*$E128*$G128*$H128*$M128*$X$11)+(W128/12*10*$F128*$G128*$H128*$M128*$X$12)</f>
        <v>0</v>
      </c>
      <c r="Y128" s="123"/>
      <c r="Z128" s="123">
        <f>(Y128/12*2*$E128*$G128*$H128*$M128*$Z$11)+(Y128/12*10*$F128*$G128*$H128*$M128*$Z$12)</f>
        <v>0</v>
      </c>
      <c r="AA128" s="123"/>
      <c r="AB128" s="123">
        <f>(AA128/12*2*$E128*$G128*$H128*$M128*$AB$11)+(AA128/12*10*$F128*$G128*$H128*$M128*$AB$11)</f>
        <v>0</v>
      </c>
      <c r="AC128" s="123"/>
      <c r="AD128" s="123"/>
      <c r="AE128" s="123"/>
      <c r="AF128" s="123">
        <f>(AE128/12*2*$E128*$G128*$H128*$M128*$AF$11)+(AE128/12*10*$F128*$G128*$H128*$M128*$AF$11)</f>
        <v>0</v>
      </c>
      <c r="AG128" s="135">
        <v>0</v>
      </c>
      <c r="AH128" s="136">
        <f>(AG128/12*2*$E128*$G128*$H128*$M128*$AH$11)+(AG128/12*10*$F128*$G128*$H128*$M128*$AH$11)</f>
        <v>0</v>
      </c>
      <c r="AI128" s="123"/>
      <c r="AJ128" s="123">
        <f t="shared" ref="AJ128:AJ130" si="194">(AI128/12*2*$E128*$G128*$H128*$M128*$AJ$11)+(AI128/12*5*$F128*$G128*$H128*$M128*$AJ$12)+(AI128/12*5*$F128*$G128*$H128*$M128*$AJ$13)</f>
        <v>0</v>
      </c>
      <c r="AK128" s="123">
        <v>2</v>
      </c>
      <c r="AL128" s="123">
        <f>(AK128/12*2*$E128*$G128*$H128*$N128*$AL$11)+(AK128/12*5*$F128*$G128*$H128*$N128*$AL$12)+(AK128/12*5*$F128*$G128*$H128*$N128*$AL$13)</f>
        <v>291174.87559999991</v>
      </c>
      <c r="AM128" s="132"/>
      <c r="AN128" s="123">
        <f>(AM128/12*2*$E128*$G128*$H128*$N128*$AN$11)+(AM128/12*10*$F128*$G128*$H128*$N128*$AN$12)</f>
        <v>0</v>
      </c>
      <c r="AO128" s="130"/>
      <c r="AP128" s="127">
        <f>(AO128/12*2*$E128*$G128*$H128*$N128*$AP$11)+(AO128/12*10*$F128*$G128*$H128*$N128*$AP$11)</f>
        <v>0</v>
      </c>
      <c r="AQ128" s="127">
        <v>0</v>
      </c>
      <c r="AR128" s="127">
        <v>0</v>
      </c>
      <c r="AS128" s="123"/>
      <c r="AT128" s="123">
        <f>(AS128/12*2*$E128*$G128*$H128*$M128*$AT$11)+(AS128/12*10*$F128*$G128*$H128*$M128*$AT$11)</f>
        <v>0</v>
      </c>
      <c r="AU128" s="123"/>
      <c r="AV128" s="126">
        <f>(AU128/12*2*$E128*$G128*$H128*$M128*$AV$11)+(AU128/12*10*$F128*$G128*$H128*$M128*$AV$12)</f>
        <v>0</v>
      </c>
      <c r="AW128" s="123"/>
      <c r="AX128" s="123">
        <f>(AW128/12*2*$E128*$G128*$H128*$M128*$AX$11)+(AW128/12*10*$F128*$G128*$H128*$M128*$AX$12)</f>
        <v>0</v>
      </c>
      <c r="AY128" s="123">
        <v>0</v>
      </c>
      <c r="AZ128" s="123">
        <f>(AY128/12*2*$E128*$G128*$H128*$N128*$AZ$11)+(AY128/12*10*$F128*$G128*$H128*$N128*$AZ$11)</f>
        <v>0</v>
      </c>
      <c r="BA128" s="123"/>
      <c r="BB128" s="123">
        <f>(BA128/12*2*$E128*$G128*$H128*$N128*$BB$11)+(BA128/12*10*$F128*$G128*$H128*$N128*$BB$12)</f>
        <v>0</v>
      </c>
      <c r="BC128" s="123"/>
      <c r="BD128" s="126">
        <f>(BC128/12*2*$E128*$G128*$H128*$N128*$BD$11)+(BC128/12*10*$F128*$G128*$H128*$N128*$BD$12)</f>
        <v>0</v>
      </c>
      <c r="BE128" s="123"/>
      <c r="BF128" s="123">
        <f>(BE128/12*10*$F128*$G128*$H128*$N128*$BF$12)</f>
        <v>0</v>
      </c>
      <c r="BG128" s="123"/>
      <c r="BH128" s="123">
        <f>(BG128/12*2*$E128*$G128*$H128*$N128*$BH$11)+(BG128/12*10*$F128*$G128*$H128*$N128*$BH$11)</f>
        <v>0</v>
      </c>
      <c r="BI128" s="123"/>
      <c r="BJ128" s="126">
        <f>(BI128/12*2*$E128*$G128*$H128*$N128*$BJ$11)+(BI128/12*10*$F128*$G128*$H128*$N128*$BJ$11)</f>
        <v>0</v>
      </c>
      <c r="BK128" s="123"/>
      <c r="BL128" s="127">
        <f>(BK128/12*2*$E128*$G128*$H128*$N128*$BL$11)+(BK128/12*10*$F128*$G128*$H128*$N128*$BL$11)</f>
        <v>0</v>
      </c>
      <c r="BM128" s="123"/>
      <c r="BN128" s="123">
        <f>(BM128/12*2*$E128*$G128*$H128*$M128*$BN$11)+(BM128/12*10*$F128*$G128*$H128*$M128*$BN$11)</f>
        <v>0</v>
      </c>
      <c r="BO128" s="123"/>
      <c r="BP128" s="123">
        <f>(BO128/12*2*$E128*$G128*$H128*$M128*$BP$11)+(BO128/12*10*$F128*$G128*$H128*$M128*$BP$12)</f>
        <v>0</v>
      </c>
      <c r="BQ128" s="123"/>
      <c r="BR128" s="123">
        <f>(BQ128/12*2*$E128*$G128*$H128*$M128*$BR$11)+(BQ128/12*10*$F128*$G128*$H128*$M128*$BR$11)</f>
        <v>0</v>
      </c>
      <c r="BS128" s="123">
        <v>0</v>
      </c>
      <c r="BT128" s="123">
        <f>(BS128/12*2*$E128*$G128*$H128*$N128*$BT$11)+(BS128/12*10*$F128*$G128*$H128*$N128*$BT$11)</f>
        <v>0</v>
      </c>
      <c r="BU128" s="123"/>
      <c r="BV128" s="126">
        <f>(BU128/12*2*$E128*$G128*$H128*$M128*$BV$11)+(BU128/12*10*$F128*$G128*$H128*$M128*$BV$11)</f>
        <v>0</v>
      </c>
      <c r="BW128" s="123"/>
      <c r="BX128" s="123">
        <f>(BW128/12*2*$E128*$G128*$H128*$M128*$BX$11)+(BW128/12*10*$F128*$G128*$H128*$M128*$BX$11)</f>
        <v>0</v>
      </c>
      <c r="BY128" s="123"/>
      <c r="BZ128" s="123">
        <f>(BY128/12*2*$E128*$G128*$H128*$M128*$BZ$11)+(BY128/12*10*$F128*$G128*$H128*$M128*$BZ$11)</f>
        <v>0</v>
      </c>
      <c r="CA128" s="123"/>
      <c r="CB128" s="123">
        <f>(CA128/12*2*$E128*$G128*$H128*$M128*$CB$11)+(CA128/12*10*$F128*$G128*$H128*$M128*$CB$11)</f>
        <v>0</v>
      </c>
      <c r="CC128" s="123"/>
      <c r="CD128" s="123">
        <f>(CC128/12*2*$E128*$G128*$H128*$M128*$CD$11)+(CC128/12*10*$F128*$G128*$H128*$M128*$CD$11)</f>
        <v>0</v>
      </c>
      <c r="CE128" s="123"/>
      <c r="CF128" s="123">
        <f>(CE128/12*10*$F128*$G128*$H128*$N128*$CF$11)</f>
        <v>0</v>
      </c>
      <c r="CG128" s="132"/>
      <c r="CH128" s="123">
        <f>(CG128/12*2*$E128*$G128*$H128*$N128*$CH$11)+(CG128/12*10*$F128*$G128*$H128*$N128*$CH$11)</f>
        <v>0</v>
      </c>
      <c r="CI128" s="123"/>
      <c r="CJ128" s="127">
        <f>(CI128*$E128*$G128*$H128*$N128*CJ$11)</f>
        <v>0</v>
      </c>
      <c r="CK128" s="123"/>
      <c r="CL128" s="123">
        <f>(CK128/12*2*$E128*$G128*$H128*$N128*$CL$11)+(CK128/12*10*$F128*$G128*$H128*$N128*$CL$12)</f>
        <v>0</v>
      </c>
      <c r="CM128" s="130"/>
      <c r="CN128" s="123">
        <f>(CM128/12*2*$E128*$G128*$H128*$N128*$CN$11)+(CM128/12*10*$F128*$G128*$H128*$N128*$CN$11)</f>
        <v>0</v>
      </c>
      <c r="CO128" s="123"/>
      <c r="CP128" s="123">
        <f>(CO128/12*2*$E128*$G128*$H128*$N128*$CP$11)+(CO128/12*10*$F128*$G128*$H128*$N128*$CP$11)</f>
        <v>0</v>
      </c>
      <c r="CQ128" s="123"/>
      <c r="CR128" s="123">
        <f>(CQ128/12*2*$E128*$G128*$H128*$O128*$CR$11)+(CQ128/12*10*$F128*$G128*$H128*$O128*$CR$11)</f>
        <v>0</v>
      </c>
      <c r="CS128" s="123"/>
      <c r="CT128" s="133">
        <f>(CS128/12*2*$E128*$G128*$H128*$P128*$CT$11)+(CS128/12*10*$F128*$G128*$H128*$P128*$CT$11)</f>
        <v>0</v>
      </c>
      <c r="CU128" s="127"/>
      <c r="CV128" s="123">
        <f>(CU128*$E128*$G128*$H128*$M128*CV$11)/12*6+(CU128*$E128*$G128*$H128*1*CV$11)/12*6</f>
        <v>0</v>
      </c>
      <c r="CW128" s="126">
        <f t="shared" ref="CW128:CX141" si="195">SUM(Q128,S128,U128,W128,Y128,AA128,AC128,AE128,AG128,AM128,BQ128,AI128,AU128,CC128,AW128,AY128,AK128,BC128,AO128,AQ128,BE128,CE128,BG128,BI128,BK128,BS128,BM128,BO128,BU128,BW128,BY128,CA128,CG128,BA128,AS128,CI128,CK128,CM128,CO128,CQ128,CS128,CU128)</f>
        <v>52</v>
      </c>
      <c r="CX128" s="126">
        <f t="shared" si="195"/>
        <v>6590269.0172666674</v>
      </c>
    </row>
    <row r="129" spans="1:102" ht="15.75" customHeight="1" x14ac:dyDescent="0.25">
      <c r="A129" s="91"/>
      <c r="B129" s="116">
        <v>101</v>
      </c>
      <c r="C129" s="117" t="s">
        <v>347</v>
      </c>
      <c r="D129" s="161" t="s">
        <v>348</v>
      </c>
      <c r="E129" s="95">
        <v>28004</v>
      </c>
      <c r="F129" s="96">
        <v>29405</v>
      </c>
      <c r="G129" s="119">
        <v>3.16</v>
      </c>
      <c r="H129" s="107">
        <v>1</v>
      </c>
      <c r="I129" s="108"/>
      <c r="J129" s="108"/>
      <c r="K129" s="108"/>
      <c r="L129" s="63"/>
      <c r="M129" s="120">
        <v>1.4</v>
      </c>
      <c r="N129" s="120">
        <v>1.68</v>
      </c>
      <c r="O129" s="120">
        <v>2.23</v>
      </c>
      <c r="P129" s="121">
        <v>2.57</v>
      </c>
      <c r="Q129" s="122">
        <v>0</v>
      </c>
      <c r="R129" s="123">
        <f>(Q129/12*2*$E129*$G129*$H129*$M129*$R$11)+(Q129/12*10*$F129*$G129*$H129*$M129*$R$11)</f>
        <v>0</v>
      </c>
      <c r="S129" s="124"/>
      <c r="T129" s="125">
        <f>(S129/12*2*$E129*$G129*$H129*$M129*$R$11)+(S129/12*10*$F129*$G129*$H129*$M129*$R$11)</f>
        <v>0</v>
      </c>
      <c r="U129" s="123">
        <v>5</v>
      </c>
      <c r="V129" s="123">
        <f>(U129/12*2*$E129*$G129*$H129*$M129*$V$11)+(U129/12*10*$F129*$G129*$H129*$M129*$V$12)</f>
        <v>865440.76033333351</v>
      </c>
      <c r="W129" s="123"/>
      <c r="X129" s="126">
        <f>(W129/12*2*$E129*$G129*$H129*$M129*$X$11)+(W129/12*10*$F129*$G129*$H129*$M129*$X$12)</f>
        <v>0</v>
      </c>
      <c r="Y129" s="123"/>
      <c r="Z129" s="123">
        <f>(Y129/12*2*$E129*$G129*$H129*$M129*$Z$11)+(Y129/12*10*$F129*$G129*$H129*$M129*$Z$12)</f>
        <v>0</v>
      </c>
      <c r="AA129" s="123"/>
      <c r="AB129" s="123">
        <f>(AA129/12*2*$E129*$G129*$H129*$M129*$AB$11)+(AA129/12*10*$F129*$G129*$H129*$M129*$AB$11)</f>
        <v>0</v>
      </c>
      <c r="AC129" s="123"/>
      <c r="AD129" s="123"/>
      <c r="AE129" s="123"/>
      <c r="AF129" s="123">
        <f>(AE129/12*2*$E129*$G129*$H129*$M129*$AF$11)+(AE129/12*10*$F129*$G129*$H129*$M129*$AF$11)</f>
        <v>0</v>
      </c>
      <c r="AG129" s="123">
        <v>0</v>
      </c>
      <c r="AH129" s="126">
        <f>(AG129/12*2*$E129*$G129*$H129*$M129*$AH$11)+(AG129/12*10*$F129*$G129*$H129*$M129*$AH$11)</f>
        <v>0</v>
      </c>
      <c r="AI129" s="123"/>
      <c r="AJ129" s="123">
        <f t="shared" si="194"/>
        <v>0</v>
      </c>
      <c r="AK129" s="123"/>
      <c r="AL129" s="123">
        <f t="shared" ref="AL129:AL130" si="196">(AK129/12*2*$E129*$G129*$H129*$N129*$AL$11)+(AK129/12*5*$F129*$G129*$H129*$N129*$AL$12)++(AK129/12*5*$F129*$G129*$H129*$N129*$AL$13)</f>
        <v>0</v>
      </c>
      <c r="AM129" s="132"/>
      <c r="AN129" s="123">
        <f>(AM129/12*2*$E129*$G129*$H129*$N129*$AN$11)+(AM129/12*10*$F129*$G129*$H129*$N129*$AN$12)</f>
        <v>0</v>
      </c>
      <c r="AO129" s="130"/>
      <c r="AP129" s="127">
        <f>(AO129/12*2*$E129*$G129*$H129*$N129*$AP$11)+(AO129/12*10*$F129*$G129*$H129*$N129*$AP$11)</f>
        <v>0</v>
      </c>
      <c r="AQ129" s="127">
        <v>0</v>
      </c>
      <c r="AR129" s="127">
        <v>0</v>
      </c>
      <c r="AS129" s="123"/>
      <c r="AT129" s="123">
        <f>(AS129/12*2*$E129*$G129*$H129*$M129*$AT$11)+(AS129/12*10*$F129*$G129*$H129*$M129*$AT$11)</f>
        <v>0</v>
      </c>
      <c r="AU129" s="123"/>
      <c r="AV129" s="126">
        <f>(AU129/12*2*$E129*$G129*$H129*$M129*$AV$11)+(AU129/12*10*$F129*$G129*$H129*$M129*$AV$12)</f>
        <v>0</v>
      </c>
      <c r="AW129" s="123"/>
      <c r="AX129" s="123">
        <f>(AW129/12*2*$E129*$G129*$H129*$M129*$AX$11)+(AW129/12*10*$F129*$G129*$H129*$M129*$AX$12)</f>
        <v>0</v>
      </c>
      <c r="AY129" s="123">
        <v>0</v>
      </c>
      <c r="AZ129" s="123">
        <f>(AY129/12*2*$E129*$G129*$H129*$N129*$AZ$11)+(AY129/12*10*$F129*$G129*$H129*$N129*$AZ$11)</f>
        <v>0</v>
      </c>
      <c r="BA129" s="123"/>
      <c r="BB129" s="123">
        <f>(BA129/12*2*$E129*$G129*$H129*$N129*$BB$11)+(BA129/12*10*$F129*$G129*$H129*$N129*$BB$12)</f>
        <v>0</v>
      </c>
      <c r="BC129" s="123"/>
      <c r="BD129" s="126">
        <f>(BC129/12*2*$E129*$G129*$H129*$N129*$BD$11)+(BC129/12*10*$F129*$G129*$H129*$N129*$BD$12)</f>
        <v>0</v>
      </c>
      <c r="BE129" s="123"/>
      <c r="BF129" s="123">
        <f>(BE129/12*10*$F129*$G129*$H129*$N129*$BF$12)</f>
        <v>0</v>
      </c>
      <c r="BG129" s="123"/>
      <c r="BH129" s="123">
        <f>(BG129/12*2*$E129*$G129*$H129*$N129*$BH$11)+(BG129/12*10*$F129*$G129*$H129*$N129*$BH$11)</f>
        <v>0</v>
      </c>
      <c r="BI129" s="123"/>
      <c r="BJ129" s="126">
        <f>(BI129/12*2*$E129*$G129*$H129*$N129*$BJ$11)+(BI129/12*10*$F129*$G129*$H129*$N129*$BJ$11)</f>
        <v>0</v>
      </c>
      <c r="BK129" s="123"/>
      <c r="BL129" s="127">
        <f>(BK129/12*2*$E129*$G129*$H129*$N129*$BL$11)+(BK129/12*10*$F129*$G129*$H129*$N129*$BL$11)</f>
        <v>0</v>
      </c>
      <c r="BM129" s="123"/>
      <c r="BN129" s="123">
        <f>(BM129/12*2*$E129*$G129*$H129*$M129*$BN$11)+(BM129/12*10*$F129*$G129*$H129*$M129*$BN$11)</f>
        <v>0</v>
      </c>
      <c r="BO129" s="123"/>
      <c r="BP129" s="123">
        <f>(BO129/12*2*$E129*$G129*$H129*$M129*$BP$11)+(BO129/12*10*$F129*$G129*$H129*$M129*$BP$12)</f>
        <v>0</v>
      </c>
      <c r="BQ129" s="123"/>
      <c r="BR129" s="123">
        <f>(BQ129/12*2*$E129*$G129*$H129*$M129*$BR$11)+(BQ129/12*10*$F129*$G129*$H129*$M129*$BR$11)</f>
        <v>0</v>
      </c>
      <c r="BS129" s="123">
        <v>0</v>
      </c>
      <c r="BT129" s="123">
        <f>(BS129/12*2*$E129*$G129*$H129*$N129*$BT$11)+(BS129/12*10*$F129*$G129*$H129*$N129*$BT$11)</f>
        <v>0</v>
      </c>
      <c r="BU129" s="123"/>
      <c r="BV129" s="126">
        <f>(BU129/12*2*$E129*$G129*$H129*$M129*$BV$11)+(BU129/12*10*$F129*$G129*$H129*$M129*$BV$11)</f>
        <v>0</v>
      </c>
      <c r="BW129" s="123"/>
      <c r="BX129" s="123">
        <f>(BW129/12*2*$E129*$G129*$H129*$M129*$BX$11)+(BW129/12*10*$F129*$G129*$H129*$M129*$BX$11)</f>
        <v>0</v>
      </c>
      <c r="BY129" s="123"/>
      <c r="BZ129" s="123">
        <f>(BY129/12*2*$E129*$G129*$H129*$M129*$BZ$11)+(BY129/12*10*$F129*$G129*$H129*$M129*$BZ$11)</f>
        <v>0</v>
      </c>
      <c r="CA129" s="123"/>
      <c r="CB129" s="123">
        <f>(CA129/12*2*$E129*$G129*$H129*$M129*$CB$11)+(CA129/12*10*$F129*$G129*$H129*$M129*$CB$11)</f>
        <v>0</v>
      </c>
      <c r="CC129" s="123"/>
      <c r="CD129" s="123">
        <f>(CC129/12*2*$E129*$G129*$H129*$M129*$CD$11)+(CC129/12*10*$F129*$G129*$H129*$M129*$CD$11)</f>
        <v>0</v>
      </c>
      <c r="CE129" s="123"/>
      <c r="CF129" s="123">
        <f>(CE129/12*10*$F129*$G129*$H129*$N129*$CF$11)</f>
        <v>0</v>
      </c>
      <c r="CG129" s="132"/>
      <c r="CH129" s="123">
        <f>(CG129/12*2*$E129*$G129*$H129*$N129*$CH$11)+(CG129/12*10*$F129*$G129*$H129*$N129*$CH$11)</f>
        <v>0</v>
      </c>
      <c r="CI129" s="123"/>
      <c r="CJ129" s="123"/>
      <c r="CK129" s="123"/>
      <c r="CL129" s="123">
        <f>(CK129/12*2*$E129*$G129*$H129*$N129*$CL$11)+(CK129/12*10*$F129*$G129*$H129*$N129*$CL$12)</f>
        <v>0</v>
      </c>
      <c r="CM129" s="130"/>
      <c r="CN129" s="123">
        <f>(CM129/12*2*$E129*$G129*$H129*$N129*$CN$11)+(CM129/12*10*$F129*$G129*$H129*$N129*$CN$11)</f>
        <v>0</v>
      </c>
      <c r="CO129" s="123"/>
      <c r="CP129" s="123">
        <f>(CO129/12*2*$E129*$G129*$H129*$N129*$CP$11)+(CO129/12*10*$F129*$G129*$H129*$N129*$CP$11)</f>
        <v>0</v>
      </c>
      <c r="CQ129" s="123"/>
      <c r="CR129" s="123">
        <f>(CQ129/12*2*$E129*$G129*$H129*$O129*$CR$11)+(CQ129/12*10*$F129*$G129*$H129*$O129*$CR$11)</f>
        <v>0</v>
      </c>
      <c r="CS129" s="123"/>
      <c r="CT129" s="133">
        <f>(CS129/12*2*$E129*$G129*$H129*$P129*$CT$11)+(CS129/12*10*$F129*$G129*$H129*$P129*$CT$11)</f>
        <v>0</v>
      </c>
      <c r="CU129" s="127"/>
      <c r="CV129" s="123">
        <f>(CU129*$E129*$G129*$H129*$M129*CV$11)/12*6+(CU129*$E129*$G129*$H129*1*CV$11)/12*6</f>
        <v>0</v>
      </c>
      <c r="CW129" s="126">
        <f t="shared" si="195"/>
        <v>5</v>
      </c>
      <c r="CX129" s="126">
        <f t="shared" si="195"/>
        <v>865440.76033333351</v>
      </c>
    </row>
    <row r="130" spans="1:102" ht="15.75" customHeight="1" x14ac:dyDescent="0.25">
      <c r="A130" s="91"/>
      <c r="B130" s="116">
        <v>102</v>
      </c>
      <c r="C130" s="117" t="s">
        <v>349</v>
      </c>
      <c r="D130" s="161" t="s">
        <v>350</v>
      </c>
      <c r="E130" s="95">
        <v>28004</v>
      </c>
      <c r="F130" s="96">
        <v>29405</v>
      </c>
      <c r="G130" s="119">
        <v>4.84</v>
      </c>
      <c r="H130" s="107">
        <v>1</v>
      </c>
      <c r="I130" s="108"/>
      <c r="J130" s="108"/>
      <c r="K130" s="108"/>
      <c r="L130" s="63"/>
      <c r="M130" s="120">
        <v>1.4</v>
      </c>
      <c r="N130" s="120">
        <v>1.68</v>
      </c>
      <c r="O130" s="120">
        <v>2.23</v>
      </c>
      <c r="P130" s="121">
        <v>2.57</v>
      </c>
      <c r="Q130" s="122">
        <v>0</v>
      </c>
      <c r="R130" s="123">
        <f>(Q130/12*2*$E130*$G130*$H130*$M130*$R$11)+(Q130/12*10*$F130*$G130*$H130*$M130*$R$11)</f>
        <v>0</v>
      </c>
      <c r="S130" s="124"/>
      <c r="T130" s="125">
        <f>(S130/12*2*$E130*$G130*$H130*$M130*$R$11)+(S130/12*10*$F130*$G130*$H130*$M130*$R$11)</f>
        <v>0</v>
      </c>
      <c r="U130" s="123"/>
      <c r="V130" s="123">
        <f>(U130/12*2*$E130*$G130*$H130*$M130*$V$11)+(U130/12*10*$F130*$G130*$H130*$M130*$V$12)</f>
        <v>0</v>
      </c>
      <c r="W130" s="123"/>
      <c r="X130" s="126">
        <f>(W130/12*2*$E130*$G130*$H130*$M130*$X$11)+(W130/12*10*$F130*$G130*$H130*$M130*$X$12)</f>
        <v>0</v>
      </c>
      <c r="Y130" s="123"/>
      <c r="Z130" s="123">
        <f>(Y130/12*2*$E130*$G130*$H130*$M130*$Z$11)+(Y130/12*10*$F130*$G130*$H130*$M130*$Z$12)</f>
        <v>0</v>
      </c>
      <c r="AA130" s="123"/>
      <c r="AB130" s="123">
        <f>(AA130/12*2*$E130*$G130*$H130*$M130*$AB$11)+(AA130/12*10*$F130*$G130*$H130*$M130*$AB$11)</f>
        <v>0</v>
      </c>
      <c r="AC130" s="123"/>
      <c r="AD130" s="123"/>
      <c r="AE130" s="123"/>
      <c r="AF130" s="123">
        <f>(AE130/12*2*$E130*$G130*$H130*$M130*$AF$11)+(AE130/12*10*$F130*$G130*$H130*$M130*$AF$11)</f>
        <v>0</v>
      </c>
      <c r="AG130" s="123">
        <v>0</v>
      </c>
      <c r="AH130" s="126">
        <f>(AG130/12*2*$E130*$G130*$H130*$M130*$AH$11)+(AG130/12*10*$F130*$G130*$H130*$M130*$AH$11)</f>
        <v>0</v>
      </c>
      <c r="AI130" s="123"/>
      <c r="AJ130" s="123">
        <f t="shared" si="194"/>
        <v>0</v>
      </c>
      <c r="AK130" s="123"/>
      <c r="AL130" s="123">
        <f t="shared" si="196"/>
        <v>0</v>
      </c>
      <c r="AM130" s="132"/>
      <c r="AN130" s="123">
        <f>(AM130/12*2*$E130*$G130*$H130*$N130*$AN$11)+(AM130/12*10*$F130*$G130*$H130*$N130*$AN$12)</f>
        <v>0</v>
      </c>
      <c r="AO130" s="130"/>
      <c r="AP130" s="127">
        <f>(AO130/12*2*$E130*$G130*$H130*$N130*$AP$11)+(AO130/12*10*$F130*$G130*$H130*$N130*$AP$11)</f>
        <v>0</v>
      </c>
      <c r="AQ130" s="127">
        <v>0</v>
      </c>
      <c r="AR130" s="127">
        <v>0</v>
      </c>
      <c r="AS130" s="123"/>
      <c r="AT130" s="123">
        <f>(AS130/12*2*$E130*$G130*$H130*$M130*$AT$11)+(AS130/12*10*$F130*$G130*$H130*$M130*$AT$11)</f>
        <v>0</v>
      </c>
      <c r="AU130" s="123"/>
      <c r="AV130" s="126">
        <f>(AU130/12*2*$E130*$G130*$H130*$M130*$AV$11)+(AU130/12*10*$F130*$G130*$H130*$M130*$AV$12)</f>
        <v>0</v>
      </c>
      <c r="AW130" s="123"/>
      <c r="AX130" s="123">
        <f>(AW130/12*2*$E130*$G130*$H130*$M130*$AX$11)+(AW130/12*10*$F130*$G130*$H130*$M130*$AX$12)</f>
        <v>0</v>
      </c>
      <c r="AY130" s="123">
        <v>0</v>
      </c>
      <c r="AZ130" s="123">
        <f>(AY130/12*2*$E130*$G130*$H130*$N130*$AZ$11)+(AY130/12*10*$F130*$G130*$H130*$N130*$AZ$11)</f>
        <v>0</v>
      </c>
      <c r="BA130" s="123"/>
      <c r="BB130" s="123">
        <f>(BA130/12*2*$E130*$G130*$H130*$N130*$BB$11)+(BA130/12*10*$F130*$G130*$H130*$N130*$BB$12)</f>
        <v>0</v>
      </c>
      <c r="BC130" s="123"/>
      <c r="BD130" s="126">
        <f>(BC130/12*2*$E130*$G130*$H130*$N130*$BD$11)+(BC130/12*10*$F130*$G130*$H130*$N130*$BD$12)</f>
        <v>0</v>
      </c>
      <c r="BE130" s="123"/>
      <c r="BF130" s="123">
        <f>(BE130/12*10*$F130*$G130*$H130*$N130*$BF$12)</f>
        <v>0</v>
      </c>
      <c r="BG130" s="123"/>
      <c r="BH130" s="123">
        <f>(BG130/12*2*$E130*$G130*$H130*$N130*$BH$11)+(BG130/12*10*$F130*$G130*$H130*$N130*$BH$11)</f>
        <v>0</v>
      </c>
      <c r="BI130" s="123"/>
      <c r="BJ130" s="126">
        <f>(BI130/12*2*$E130*$G130*$H130*$N130*$BJ$11)+(BI130/12*10*$F130*$G130*$H130*$N130*$BJ$11)</f>
        <v>0</v>
      </c>
      <c r="BK130" s="123"/>
      <c r="BL130" s="127">
        <f>(BK130/12*2*$E130*$G130*$H130*$N130*$BL$11)+(BK130/12*10*$F130*$G130*$H130*$N130*$BL$11)</f>
        <v>0</v>
      </c>
      <c r="BM130" s="123"/>
      <c r="BN130" s="123">
        <f>(BM130/12*2*$E130*$G130*$H130*$M130*$BN$11)+(BM130/12*10*$F130*$G130*$H130*$M130*$BN$11)</f>
        <v>0</v>
      </c>
      <c r="BO130" s="123"/>
      <c r="BP130" s="123">
        <f>(BO130/12*2*$E130*$G130*$H130*$M130*$BP$11)+(BO130/12*10*$F130*$G130*$H130*$M130*$BP$12)</f>
        <v>0</v>
      </c>
      <c r="BQ130" s="123"/>
      <c r="BR130" s="123">
        <f>(BQ130/12*2*$E130*$G130*$H130*$M130*$BR$11)+(BQ130/12*10*$F130*$G130*$H130*$M130*$BR$11)</f>
        <v>0</v>
      </c>
      <c r="BS130" s="123">
        <v>0</v>
      </c>
      <c r="BT130" s="123">
        <f>(BS130/12*2*$E130*$G130*$H130*$N130*$BT$11)+(BS130/12*10*$F130*$G130*$H130*$N130*$BT$11)</f>
        <v>0</v>
      </c>
      <c r="BU130" s="123"/>
      <c r="BV130" s="126">
        <f>(BU130/12*2*$E130*$G130*$H130*$M130*$BV$11)+(BU130/12*10*$F130*$G130*$H130*$M130*$BV$11)</f>
        <v>0</v>
      </c>
      <c r="BW130" s="123"/>
      <c r="BX130" s="123">
        <f>(BW130/12*2*$E130*$G130*$H130*$M130*$BX$11)+(BW130/12*10*$F130*$G130*$H130*$M130*$BX$11)</f>
        <v>0</v>
      </c>
      <c r="BY130" s="123"/>
      <c r="BZ130" s="123">
        <f>(BY130/12*2*$E130*$G130*$H130*$M130*$BZ$11)+(BY130/12*10*$F130*$G130*$H130*$M130*$BZ$11)</f>
        <v>0</v>
      </c>
      <c r="CA130" s="123"/>
      <c r="CB130" s="123">
        <f>(CA130/12*2*$E130*$G130*$H130*$M130*$CB$11)+(CA130/12*10*$F130*$G130*$H130*$M130*$CB$11)</f>
        <v>0</v>
      </c>
      <c r="CC130" s="123"/>
      <c r="CD130" s="123">
        <f>(CC130/12*2*$E130*$G130*$H130*$M130*$CD$11)+(CC130/12*10*$F130*$G130*$H130*$M130*$CD$11)</f>
        <v>0</v>
      </c>
      <c r="CE130" s="123"/>
      <c r="CF130" s="123">
        <f>(CE130/12*10*$F130*$G130*$H130*$N130*$CF$11)</f>
        <v>0</v>
      </c>
      <c r="CG130" s="132"/>
      <c r="CH130" s="123">
        <f>(CG130/12*2*$E130*$G130*$H130*$N130*$CH$11)+(CG130/12*10*$F130*$G130*$H130*$N130*$CH$11)</f>
        <v>0</v>
      </c>
      <c r="CI130" s="123"/>
      <c r="CJ130" s="123"/>
      <c r="CK130" s="123"/>
      <c r="CL130" s="123">
        <f>(CK130/12*2*$E130*$G130*$H130*$N130*$CL$11)+(CK130/12*10*$F130*$G130*$H130*$N130*$CL$12)</f>
        <v>0</v>
      </c>
      <c r="CM130" s="130"/>
      <c r="CN130" s="123">
        <f>(CM130/12*2*$E130*$G130*$H130*$N130*$CN$11)+(CM130/12*10*$F130*$G130*$H130*$N130*$CN$11)</f>
        <v>0</v>
      </c>
      <c r="CO130" s="123"/>
      <c r="CP130" s="123">
        <f>(CO130/12*2*$E130*$G130*$H130*$N130*$CP$11)+(CO130/12*10*$F130*$G130*$H130*$N130*$CP$11)</f>
        <v>0</v>
      </c>
      <c r="CQ130" s="123"/>
      <c r="CR130" s="123">
        <f>(CQ130/12*2*$E130*$G130*$H130*$O130*$CR$11)+(CQ130/12*10*$F130*$G130*$H130*$O130*$CR$11)</f>
        <v>0</v>
      </c>
      <c r="CS130" s="123"/>
      <c r="CT130" s="133">
        <f>(CS130/12*2*$E130*$G130*$H130*$P130*$CT$11)+(CS130/12*10*$F130*$G130*$H130*$P130*$CT$11)</f>
        <v>0</v>
      </c>
      <c r="CU130" s="127"/>
      <c r="CV130" s="123">
        <f>(CU130*$E130*$G130*$H130*$M130*CV$11)/12*6+(CU130*$E130*$G130*$H130*1*CV$11)/12*6</f>
        <v>0</v>
      </c>
      <c r="CW130" s="126">
        <f t="shared" si="195"/>
        <v>0</v>
      </c>
      <c r="CX130" s="126">
        <f t="shared" si="195"/>
        <v>0</v>
      </c>
    </row>
    <row r="131" spans="1:102" ht="30" customHeight="1" x14ac:dyDescent="0.25">
      <c r="A131" s="91"/>
      <c r="B131" s="116">
        <v>103</v>
      </c>
      <c r="C131" s="117" t="s">
        <v>351</v>
      </c>
      <c r="D131" s="161" t="s">
        <v>352</v>
      </c>
      <c r="E131" s="95">
        <v>28004</v>
      </c>
      <c r="F131" s="96">
        <v>29405</v>
      </c>
      <c r="G131" s="119">
        <v>1.02</v>
      </c>
      <c r="H131" s="110">
        <v>0.9</v>
      </c>
      <c r="I131" s="110">
        <v>0.85</v>
      </c>
      <c r="J131" s="108"/>
      <c r="K131" s="108"/>
      <c r="L131" s="63"/>
      <c r="M131" s="120">
        <v>1.4</v>
      </c>
      <c r="N131" s="120">
        <v>1.68</v>
      </c>
      <c r="O131" s="120">
        <v>2.23</v>
      </c>
      <c r="P131" s="121">
        <v>2.57</v>
      </c>
      <c r="Q131" s="122">
        <v>31</v>
      </c>
      <c r="R131" s="123">
        <f>(Q131/12*2*$E131*$G131*$H131*$M131*$R$11)+(Q131/12*10*$F131*$G131*$I131*$M131*$R$11)</f>
        <v>1218789.0476300002</v>
      </c>
      <c r="S131" s="124">
        <v>112</v>
      </c>
      <c r="T131" s="125">
        <f>(S131/12*2*$E131*$G131*$H131*$M131*$R$11)+(S131/12*10*$F131*$G131*$I131*$M131*$R$11)</f>
        <v>4403366.8817600012</v>
      </c>
      <c r="U131" s="123">
        <v>24</v>
      </c>
      <c r="V131" s="123">
        <f>(U131/12*2*$E131*$G131*$H131*$M131*$V$11)+(U131/12*10*$F131*$G131*$I131*$M131*$V$12)</f>
        <v>1150949.7358800001</v>
      </c>
      <c r="W131" s="123"/>
      <c r="X131" s="126">
        <f>(W131/12*2*$E131*$G131*$H131*$M131*$X$11)+(W131/12*10*$F131*$G131*$I131*$M131*$X$12)</f>
        <v>0</v>
      </c>
      <c r="Y131" s="123"/>
      <c r="Z131" s="123">
        <f>(Y131/12*2*$E131*$G131*$H131*$M131*$Z$11)+(Y131/12*10*$F131*$G131*$I131*$M131*$Z$12)</f>
        <v>0</v>
      </c>
      <c r="AA131" s="123"/>
      <c r="AB131" s="123">
        <f>(AA131/12*2*$E131*$G131*$H131*$M131*$AB$11)+(AA131/12*10*$F131*$G131*$I131*$M131*$AB$11)</f>
        <v>0</v>
      </c>
      <c r="AC131" s="123"/>
      <c r="AD131" s="123"/>
      <c r="AE131" s="123">
        <v>115</v>
      </c>
      <c r="AF131" s="127">
        <f>(AE131/12*2*$E131*$G131*$H131*$M131*$AF$11)+(AE131/12*10*$F131*$G131*$I131*$M131*$AF$11)</f>
        <v>4521314.2089500008</v>
      </c>
      <c r="AG131" s="123">
        <f>20-3</f>
        <v>17</v>
      </c>
      <c r="AH131" s="126">
        <f>(AG131/12*2*$E131*$G131*$H131*$M131*$AH$11)+(AG131/12*10*$F131*$G131*$I131*$M131*$AH$11)</f>
        <v>668368.18741000013</v>
      </c>
      <c r="AI131" s="130"/>
      <c r="AJ131" s="123">
        <f>(AI131/12*2*$E131*$G131*$H131*$M131*$AJ$11)+(AI131/12*5*$F131*$G131*$I131*$M131*$AJ$12)+(AI131/12*5*$F131*$G131*$I131*$M131*$AJ$13)</f>
        <v>0</v>
      </c>
      <c r="AK131" s="123">
        <v>10</v>
      </c>
      <c r="AL131" s="123">
        <f>(AK131/12*2*$E131*$G131*$H131*$N131*$AL$11)+(AK131/12*5*$F131*$G131*$I131*$N131*$AL$12)+(AK131/12*5*$F131*$G131*$I131*$N131*$AL$13)</f>
        <v>554000.00418000005</v>
      </c>
      <c r="AM131" s="132"/>
      <c r="AN131" s="123">
        <f>(AM131/12*2*$E131*$G131*$H131*$N131*$AN$11)+(AM131/12*10*$F131*$G131*$I131*$N131*$AN$12)</f>
        <v>0</v>
      </c>
      <c r="AO131" s="130"/>
      <c r="AP131" s="127">
        <f>(AO131/12*2*$E131*$G131*$H131*$N131*$AP$11)+(AO131/12*10*$F131*$G131*$I131*$N131*$AP$11)</f>
        <v>0</v>
      </c>
      <c r="AQ131" s="127">
        <v>6</v>
      </c>
      <c r="AR131" s="127">
        <v>284257.44</v>
      </c>
      <c r="AS131" s="123"/>
      <c r="AT131" s="123"/>
      <c r="AU131" s="123"/>
      <c r="AV131" s="126"/>
      <c r="AW131" s="123">
        <v>6</v>
      </c>
      <c r="AX131" s="123">
        <f>(AW131/12*2*$E131*$G131*$H131*$M131*$AX$11)+(AW131/12*10*$F131*$G131*$I131*$M131*$AX$12)</f>
        <v>246632.08626000001</v>
      </c>
      <c r="AY131" s="123">
        <v>420</v>
      </c>
      <c r="AZ131" s="123">
        <f>(AY131/12*2*$E131*$G131*$H131*$N131*$AZ$11)+(AY131/12*10*$F131*$G131*$I131*$N131*$AZ$11)</f>
        <v>19815150.967920002</v>
      </c>
      <c r="BA131" s="123">
        <v>10</v>
      </c>
      <c r="BB131" s="123">
        <f>(BA131/12*2*$E131*$G131*$H131*$N131*$BB$11)+(BA131/12*10*$F131*$G131*$I131*$N131*$BB$12)</f>
        <v>414622.65600000002</v>
      </c>
      <c r="BC131" s="123"/>
      <c r="BD131" s="126"/>
      <c r="BE131" s="123">
        <v>10</v>
      </c>
      <c r="BF131" s="123">
        <f>(BE131/12*10*$F131*$G131*$I131*$N131*$BF$12)</f>
        <v>356917.89</v>
      </c>
      <c r="BG131" s="123">
        <v>3</v>
      </c>
      <c r="BH131" s="123">
        <f>(BG131/12*2*$E131*$G131*$H131*$N131*$BH$11)+(BG131/12*10*$F131*$G131*$I131*$N131*$BH$11)</f>
        <v>115802.83033200001</v>
      </c>
      <c r="BI131" s="123">
        <v>6</v>
      </c>
      <c r="BJ131" s="126">
        <f>(BI131/12*2*$E131*$G131*$H131*$N131*$BJ$11)+(BI131/12*10*$F131*$G131*$I131*$N131*$BJ$11)</f>
        <v>308807.54755199997</v>
      </c>
      <c r="BK131" s="123">
        <v>20</v>
      </c>
      <c r="BL131" s="127">
        <f>(BK131/12*2*$E131*$G131*$H131*$N131*$BL$11)+(BK131/12*10*$F131*$G131*$I131*$N131*$BL$11)</f>
        <v>1029358.49184</v>
      </c>
      <c r="BM131" s="123"/>
      <c r="BN131" s="123">
        <f>(BM131/12*2*$E131*$G131*$H131*$M131*$BN$11)+(BM131/12*10*$F131*$G131*$I131*$M131*$BN$11)</f>
        <v>0</v>
      </c>
      <c r="BO131" s="123"/>
      <c r="BP131" s="123">
        <f>(BO131/12*2*$E131*$G131*$H131*$M131*$BP$11)+(BO131/12*10*$F131*$G131*$I131*$M131*$BP$12)</f>
        <v>0</v>
      </c>
      <c r="BQ131" s="123">
        <v>1</v>
      </c>
      <c r="BR131" s="123">
        <f>(BQ131*$F131*$G131*$I131*$M131*$BR$11)</f>
        <v>35691.788999999997</v>
      </c>
      <c r="BS131" s="123">
        <v>65</v>
      </c>
      <c r="BT131" s="123">
        <f>(BS131/12*2*$E131*$G131*$H131*$N131*$BT$11)+(BS131/12*10*$F131*$G131*$I131*$N131*$BT$11)</f>
        <v>2787845.9154000003</v>
      </c>
      <c r="BU131" s="123"/>
      <c r="BV131" s="126">
        <f>(BU131/12*2*$E131*$G131*$H131*$M131*$BV$11)+(BU131/12*10*$F131*$G131*$I131*$M131*$BV$11)</f>
        <v>0</v>
      </c>
      <c r="BW131" s="123"/>
      <c r="BX131" s="123">
        <f>(BW131/12*2*$E131*$G131*$H131*$M131*$BX$11)+(BW131/12*10*$F131*$G131*$I131*$M131*$BX$11)</f>
        <v>0</v>
      </c>
      <c r="BY131" s="123">
        <v>30</v>
      </c>
      <c r="BZ131" s="123">
        <f>(BY131/12*2*$E131*$G131*$H131*$M131*$BZ$11)+(BY131/12*10*$F131*$G131*$I131*$M131*$BZ$11)</f>
        <v>1072248.429</v>
      </c>
      <c r="CA131" s="123">
        <v>22</v>
      </c>
      <c r="CB131" s="123">
        <f>(CA131/12*2*$E131*$G131*$H131*$M131*$CB$11)+(CA131/12*10*$F131*$G131*$I131*$M131*$CB$11)</f>
        <v>943578.61751999985</v>
      </c>
      <c r="CC131" s="123">
        <v>2</v>
      </c>
      <c r="CD131" s="123">
        <f>(CC131/12*2*$E131*$G131*$H131*$M131*$CD$11)+(CC131/12*10*$F131*$G131*$I131*$M131*$CD$11)</f>
        <v>71483.228599999973</v>
      </c>
      <c r="CE131" s="123"/>
      <c r="CF131" s="123">
        <f>(CE131/12*10*$F131*$G131*$I131*$N131*$CF$11)</f>
        <v>0</v>
      </c>
      <c r="CG131" s="132"/>
      <c r="CH131" s="123">
        <f>(CG131/12*2*$E131*$G131*$H131*$N131*$CH$11)+(CG131/12*10*$F131*$G131*$I131*$N131*$CH$11)</f>
        <v>0</v>
      </c>
      <c r="CI131" s="123"/>
      <c r="CJ131" s="127"/>
      <c r="CK131" s="123"/>
      <c r="CL131" s="123">
        <f>(CK131/12*2*$E131*$G131*$H131*$N131*$CL$11)+(CK131/12*10*$F131*$G131*$I131*$N131*$CL$12)</f>
        <v>0</v>
      </c>
      <c r="CM131" s="130"/>
      <c r="CN131" s="123">
        <f>(CM131/12*2*$E131*$G131*$H131*$N131*$CN$11)+(CM131/12*10*$F131*$G131*$I131*$N131*$CN$11)</f>
        <v>0</v>
      </c>
      <c r="CO131" s="123">
        <v>6</v>
      </c>
      <c r="CP131" s="123">
        <v>64603.97</v>
      </c>
      <c r="CQ131" s="123"/>
      <c r="CR131" s="123">
        <f>(CQ131/12*2*$E131*$G131*$H131*$O131*$CR$11)+(CQ131/12*10*$F131*$G131*$I131*$O131*$CR$11)</f>
        <v>0</v>
      </c>
      <c r="CS131" s="123">
        <v>5</v>
      </c>
      <c r="CT131" s="133">
        <f>(CS131/12*2*$E131*$G131*$H131*$P131*$CT$11)+(CS131/12*10*$F131*$G131*$I131*$P131*$CT$11)</f>
        <v>328056.95982499997</v>
      </c>
      <c r="CU131" s="127"/>
      <c r="CV131" s="123"/>
      <c r="CW131" s="126">
        <f t="shared" si="195"/>
        <v>921</v>
      </c>
      <c r="CX131" s="126">
        <f t="shared" si="195"/>
        <v>40391846.885058999</v>
      </c>
    </row>
    <row r="132" spans="1:102" ht="45" x14ac:dyDescent="0.25">
      <c r="A132" s="91"/>
      <c r="B132" s="116">
        <v>104</v>
      </c>
      <c r="C132" s="117" t="s">
        <v>353</v>
      </c>
      <c r="D132" s="118" t="s">
        <v>354</v>
      </c>
      <c r="E132" s="95">
        <v>28004</v>
      </c>
      <c r="F132" s="96">
        <v>29405</v>
      </c>
      <c r="G132" s="119">
        <v>1.43</v>
      </c>
      <c r="H132" s="107">
        <v>1</v>
      </c>
      <c r="I132" s="108"/>
      <c r="J132" s="108"/>
      <c r="K132" s="108"/>
      <c r="L132" s="63"/>
      <c r="M132" s="213">
        <v>1.4</v>
      </c>
      <c r="N132" s="213">
        <v>1.68</v>
      </c>
      <c r="O132" s="213">
        <v>2.23</v>
      </c>
      <c r="P132" s="214">
        <v>2.57</v>
      </c>
      <c r="Q132" s="122">
        <v>25</v>
      </c>
      <c r="R132" s="123">
        <f>(Q132/12*2*$E132*$G132*$H132*$M132)+(Q132/12*10*$F132*$G132*$H132*$M132)</f>
        <v>1460033.5750000002</v>
      </c>
      <c r="S132" s="124"/>
      <c r="T132" s="125">
        <f>(S132/12*2*$E132*$G132*$H132*$M132)+(S132/12*10*$F132*$G132*$H132*$M132)</f>
        <v>0</v>
      </c>
      <c r="U132" s="123">
        <v>0</v>
      </c>
      <c r="V132" s="123">
        <f>(U132/12*2*$E132*$G132*$H132*$M132)+(U132/12*10*$F132*$G132*$H132*$M132)</f>
        <v>0</v>
      </c>
      <c r="W132" s="123"/>
      <c r="X132" s="123">
        <f>(W132/12*2*$E132*$G132*$H132*$M132)+(W132/12*10*$F132*$G132*$H132*$M132)</f>
        <v>0</v>
      </c>
      <c r="Y132" s="123"/>
      <c r="Z132" s="123">
        <f>(Y132/12*2*$E132*$G132*$H132*$M132)+(Y132/12*10*$F132*$G132*$H132*$M132)</f>
        <v>0</v>
      </c>
      <c r="AA132" s="123"/>
      <c r="AB132" s="123">
        <f>(AA132/12*2*$E132*$G132*$H132*$M132)+(AA132/12*10*$F132*$G132*$H132*$M132)</f>
        <v>0</v>
      </c>
      <c r="AC132" s="123"/>
      <c r="AD132" s="123"/>
      <c r="AE132" s="123">
        <v>98</v>
      </c>
      <c r="AF132" s="123">
        <f>(AE132/12*2*$E132*$G132*$H132*$M132)+(AE132/12*10*$F132*$G132*$H132*$M132)</f>
        <v>5723331.6139999991</v>
      </c>
      <c r="AG132" s="135">
        <v>0</v>
      </c>
      <c r="AH132" s="135">
        <f>(AG132/12*2*$E132*$G132*$H132*$M132)+(AG132/12*10*$F132*$G132*$H132*$M132)</f>
        <v>0</v>
      </c>
      <c r="AI132" s="123"/>
      <c r="AJ132" s="123">
        <f>(AI132/12*2*$E132*$G132*$H132*$M132)+(AI132/12*10*$F132*$G132*$H132*$M132)</f>
        <v>0</v>
      </c>
      <c r="AK132" s="123"/>
      <c r="AL132" s="126">
        <f>(AK132/12*2*$E132*$G132*$H132*$N132)+(AK132/12*10*$F132*$G132*$H132*$N132)</f>
        <v>0</v>
      </c>
      <c r="AM132" s="132"/>
      <c r="AN132" s="123">
        <f>(AM132/12*2*$E132*$G132*$H132*$N132)+(AM132/12*10*$F132*$G132*$H132*$N132)</f>
        <v>0</v>
      </c>
      <c r="AO132" s="130"/>
      <c r="AP132" s="123">
        <f>(AO132/12*2*$E132*$G132*$H132*$N132)+(AO132/12*10*$F132*$G132*$H132*$N132)</f>
        <v>0</v>
      </c>
      <c r="AQ132" s="123">
        <v>1</v>
      </c>
      <c r="AR132" s="123">
        <v>70642.570000000007</v>
      </c>
      <c r="AS132" s="123"/>
      <c r="AT132" s="123"/>
      <c r="AU132" s="123"/>
      <c r="AV132" s="123"/>
      <c r="AW132" s="123"/>
      <c r="AX132" s="123">
        <f>(AW132/12*2*$E132*$G132*$H132*$M132)+(AW132/12*10*$F132*$G132*$H132*$M132)</f>
        <v>0</v>
      </c>
      <c r="AY132" s="123">
        <v>7</v>
      </c>
      <c r="AZ132" s="123">
        <f>(AY132/12*2*$E132*$G132*$H132*$N132)+(AY132/12*10*$F132*$G132*$H132*$N132)</f>
        <v>490571.28119999997</v>
      </c>
      <c r="BA132" s="123"/>
      <c r="BB132" s="123">
        <f>(BA132/12*2*$E132*$G132*$H132*$N132)+(BA132/12*10*$F132*$G132*$H132*$N132)</f>
        <v>0</v>
      </c>
      <c r="BC132" s="123"/>
      <c r="BD132" s="123">
        <f>(BC132/12*2*$E132*$G132*$H132*$N132)+(BC132/12*10*$F132*$G132*$H132*$N132)</f>
        <v>0</v>
      </c>
      <c r="BE132" s="123"/>
      <c r="BF132" s="123">
        <f>(BE132/12*10*$F132*$G132*$H132*$N132)</f>
        <v>0</v>
      </c>
      <c r="BG132" s="123"/>
      <c r="BH132" s="123">
        <f>(BG132/12*2*$E132*$G132*$H132*$N132)+(BG132/12*10*$F132*$G132*$H132*$N132)</f>
        <v>0</v>
      </c>
      <c r="BI132" s="123"/>
      <c r="BJ132" s="123">
        <f>(BI132/12*2*$E132*$G132*$H132*$N132)+(BI132/12*10*$F132*$G132*$H132*$N132)</f>
        <v>0</v>
      </c>
      <c r="BK132" s="123"/>
      <c r="BL132" s="123">
        <f>(BK132/12*2*$E132*$G132*$H132*$N132)+(BK132/12*10*$F132*$G132*$H132*$N132)</f>
        <v>0</v>
      </c>
      <c r="BM132" s="123"/>
      <c r="BN132" s="123">
        <f>(BM132/12*2*$E132*$G132*$H132*$M132)+(BM132/12*10*$F132*$G132*$H132*$M132)</f>
        <v>0</v>
      </c>
      <c r="BO132" s="123"/>
      <c r="BP132" s="123">
        <f>(BO132/12*2*$E132*$G132*$H132*$M132)+(BO132/12*10*$F132*$G132*$H132*$M132)</f>
        <v>0</v>
      </c>
      <c r="BQ132" s="123"/>
      <c r="BR132" s="123">
        <f>(BQ132/12*2*$E132*$G132*$H132*$M132)+(BQ132/12*10*$F132*$G132*$H132*$M132)</f>
        <v>0</v>
      </c>
      <c r="BS132" s="123">
        <v>0</v>
      </c>
      <c r="BT132" s="123">
        <f>(BS132/12*2*$E132*$G132*$H132*$N132)+(BS132/12*10*$F132*$G132*$H132*$N132)</f>
        <v>0</v>
      </c>
      <c r="BU132" s="123"/>
      <c r="BV132" s="123">
        <f>(BU132/12*2*$E132*$G132*$H132*$M132)+(BU132/12*10*$F132*$G132*$H132*$M132)</f>
        <v>0</v>
      </c>
      <c r="BW132" s="123"/>
      <c r="BX132" s="123">
        <f>(BW132/12*2*$E132*$G132*$H132*$M132)+(BW132/12*10*$F132*$G132*$H132*$M132)</f>
        <v>0</v>
      </c>
      <c r="BY132" s="123"/>
      <c r="BZ132" s="123">
        <f>(BY132/12*2*$E132*$G132*$H132*$M132)+(BY132/12*10*$F132*$G132*$H132*$M132)</f>
        <v>0</v>
      </c>
      <c r="CA132" s="123"/>
      <c r="CB132" s="123">
        <f>(CA132/12*2*$E132*$G132*$H132*$M132)+(CA132/12*10*$F132*$G132*$H132*$M132)</f>
        <v>0</v>
      </c>
      <c r="CC132" s="123"/>
      <c r="CD132" s="123">
        <f>(CC132/12*2*$E132*$G132*$H132*$M132)+(CC132/12*10*$F132*$G132*$H132*$M132)</f>
        <v>0</v>
      </c>
      <c r="CE132" s="123"/>
      <c r="CF132" s="123">
        <f>(CE132/12*10*$F132*$G132*$H132*$N132)</f>
        <v>0</v>
      </c>
      <c r="CG132" s="132"/>
      <c r="CH132" s="123">
        <f>(CG132/12*2*$E132*$G132*$H132*$N132)+(CG132/12*10*$F132*$G132*$H132*$N132)</f>
        <v>0</v>
      </c>
      <c r="CI132" s="123"/>
      <c r="CJ132" s="127">
        <f>(CI132*$E132*$G132*$H132*$N132)</f>
        <v>0</v>
      </c>
      <c r="CK132" s="123"/>
      <c r="CL132" s="123">
        <f>(CK132/12*2*$E132*$G132*$H132*$N132)+(CK132/12*10*$F132*$G132*$H132*$N132)</f>
        <v>0</v>
      </c>
      <c r="CM132" s="130"/>
      <c r="CN132" s="123">
        <f>(CM132/12*2*$E132*$G132*$H132*$N132)+(CM132/12*10*$F132*$G132*$H132*$N132)</f>
        <v>0</v>
      </c>
      <c r="CO132" s="123">
        <v>0</v>
      </c>
      <c r="CP132" s="123">
        <v>0</v>
      </c>
      <c r="CQ132" s="123"/>
      <c r="CR132" s="123">
        <f>(CQ132/12*2*$E132*$G132*$H132*$O132)+(CQ132/12*10*$F132*$G132*$H132*$O132)</f>
        <v>0</v>
      </c>
      <c r="CS132" s="123"/>
      <c r="CT132" s="127">
        <f>(CS132/12*2*$E132*$G132*$H132*$P132)+(CS132/12*10*$F132*$G132*$H132*$P132)</f>
        <v>0</v>
      </c>
      <c r="CU132" s="127"/>
      <c r="CV132" s="127"/>
      <c r="CW132" s="126">
        <f t="shared" si="195"/>
        <v>131</v>
      </c>
      <c r="CX132" s="126">
        <f t="shared" si="195"/>
        <v>7744579.0401999997</v>
      </c>
    </row>
    <row r="133" spans="1:102" ht="45" x14ac:dyDescent="0.25">
      <c r="A133" s="91"/>
      <c r="B133" s="116">
        <v>105</v>
      </c>
      <c r="C133" s="117" t="s">
        <v>355</v>
      </c>
      <c r="D133" s="118" t="s">
        <v>356</v>
      </c>
      <c r="E133" s="95">
        <v>28004</v>
      </c>
      <c r="F133" s="96">
        <v>29405</v>
      </c>
      <c r="G133" s="119">
        <v>2.11</v>
      </c>
      <c r="H133" s="107">
        <v>1</v>
      </c>
      <c r="I133" s="108"/>
      <c r="J133" s="108"/>
      <c r="K133" s="108"/>
      <c r="L133" s="63"/>
      <c r="M133" s="213">
        <v>1.4</v>
      </c>
      <c r="N133" s="213">
        <v>1.68</v>
      </c>
      <c r="O133" s="213">
        <v>2.23</v>
      </c>
      <c r="P133" s="214">
        <v>2.57</v>
      </c>
      <c r="Q133" s="122">
        <v>3</v>
      </c>
      <c r="R133" s="123">
        <f>(Q133/12*2*$E133*$G133*$H133*$M133)+(Q133/12*10*$F133*$G133*$H133*$M133)</f>
        <v>258517.83299999998</v>
      </c>
      <c r="S133" s="124"/>
      <c r="T133" s="125">
        <f>(S133/12*2*$E133*$G133*$H133*$M133)+(S133/12*10*$F133*$G133*$H133*$M133)</f>
        <v>0</v>
      </c>
      <c r="U133" s="123">
        <v>75</v>
      </c>
      <c r="V133" s="123">
        <f>(U133/12*2*$E133*$G133*$H133*$M133)+(U133/12*10*$F133*$G133*$H133*$M133)</f>
        <v>6462945.8250000002</v>
      </c>
      <c r="W133" s="123"/>
      <c r="X133" s="123">
        <f>(W133/12*2*$E133*$G133*$H133*$M133)+(W133/12*10*$F133*$G133*$H133*$M133)</f>
        <v>0</v>
      </c>
      <c r="Y133" s="123"/>
      <c r="Z133" s="123">
        <f>(Y133/12*2*$E133*$G133*$H133*$M133)+(Y133/12*10*$F133*$G133*$H133*$M133)</f>
        <v>0</v>
      </c>
      <c r="AA133" s="123"/>
      <c r="AB133" s="123">
        <f>(AA133/12*2*$E133*$G133*$H133*$M133)+(AA133/12*10*$F133*$G133*$H133*$M133)</f>
        <v>0</v>
      </c>
      <c r="AC133" s="123"/>
      <c r="AD133" s="123"/>
      <c r="AE133" s="123"/>
      <c r="AF133" s="123">
        <f>(AE133/12*2*$E133*$G133*$H133*$M133)+(AE133/12*10*$F133*$G133*$H133*$M133)</f>
        <v>0</v>
      </c>
      <c r="AG133" s="123">
        <v>0</v>
      </c>
      <c r="AH133" s="123">
        <f>(AG133/12*2*$E133*$G133*$H133*$M133)+(AG133/12*10*$F133*$G133*$H133*$M133)</f>
        <v>0</v>
      </c>
      <c r="AI133" s="123"/>
      <c r="AJ133" s="123">
        <f>(AI133/12*2*$E133*$G133*$H133*$M133)+(AI133/12*10*$F133*$G133*$H133*$M133)</f>
        <v>0</v>
      </c>
      <c r="AK133" s="123"/>
      <c r="AL133" s="126">
        <f>(AK133/12*2*$E133*$G133*$H133*$N133)+(AK133/12*10*$F133*$G133*$H133*$N133)</f>
        <v>0</v>
      </c>
      <c r="AM133" s="132"/>
      <c r="AN133" s="123">
        <f>(AM133/12*2*$E133*$G133*$H133*$N133)+(AM133/12*10*$F133*$G133*$H133*$N133)</f>
        <v>0</v>
      </c>
      <c r="AO133" s="130"/>
      <c r="AP133" s="123">
        <f>(AO133/12*2*$E133*$G133*$H133*$N133)+(AO133/12*10*$F133*$G133*$H133*$N133)</f>
        <v>0</v>
      </c>
      <c r="AQ133" s="123">
        <v>0</v>
      </c>
      <c r="AR133" s="123">
        <v>0</v>
      </c>
      <c r="AS133" s="123"/>
      <c r="AT133" s="123"/>
      <c r="AU133" s="123"/>
      <c r="AV133" s="123"/>
      <c r="AW133" s="123"/>
      <c r="AX133" s="123">
        <f>(AW133/12*2*$E133*$G133*$H133*$M133)+(AW133/12*10*$F133*$G133*$H133*$M133)</f>
        <v>0</v>
      </c>
      <c r="AY133" s="123">
        <v>0</v>
      </c>
      <c r="AZ133" s="123">
        <f>(AY133/12*2*$E133*$G133*$H133*$N133)+(AY133/12*10*$F133*$G133*$H133*$N133)</f>
        <v>0</v>
      </c>
      <c r="BA133" s="123"/>
      <c r="BB133" s="123">
        <f>(BA133/12*2*$E133*$G133*$H133*$N133)+(BA133/12*10*$F133*$G133*$H133*$N133)</f>
        <v>0</v>
      </c>
      <c r="BC133" s="123"/>
      <c r="BD133" s="123">
        <f>(BC133/12*2*$E133*$G133*$H133*$N133)+(BC133/12*10*$F133*$G133*$H133*$N133)</f>
        <v>0</v>
      </c>
      <c r="BE133" s="123"/>
      <c r="BF133" s="123">
        <f>(BE133/12*10*$F133*$G133*$H133*$N133)</f>
        <v>0</v>
      </c>
      <c r="BG133" s="123"/>
      <c r="BH133" s="123">
        <f>(BG133/12*2*$E133*$G133*$H133*$N133)+(BG133/12*10*$F133*$G133*$H133*$N133)</f>
        <v>0</v>
      </c>
      <c r="BI133" s="123"/>
      <c r="BJ133" s="123">
        <f>(BI133/12*2*$E133*$G133*$H133*$N133)+(BI133/12*10*$F133*$G133*$H133*$N133)</f>
        <v>0</v>
      </c>
      <c r="BK133" s="123"/>
      <c r="BL133" s="123">
        <f>(BK133/12*2*$E133*$G133*$H133*$N133)+(BK133/12*10*$F133*$G133*$H133*$N133)</f>
        <v>0</v>
      </c>
      <c r="BM133" s="123"/>
      <c r="BN133" s="123">
        <f>(BM133/12*2*$E133*$G133*$H133*$M133)+(BM133/12*10*$F133*$G133*$H133*$M133)</f>
        <v>0</v>
      </c>
      <c r="BO133" s="123">
        <v>26</v>
      </c>
      <c r="BP133" s="123">
        <f>(BO133/12*2*$E133*$G133*$H133*$M133)+(BO133/12*10*$F133*$G133*$H133*$M133)</f>
        <v>2240487.8859999995</v>
      </c>
      <c r="BQ133" s="123"/>
      <c r="BR133" s="123">
        <f>(BQ133/12*2*$E133*$G133*$H133*$M133)+(BQ133/12*10*$F133*$G133*$H133*$M133)</f>
        <v>0</v>
      </c>
      <c r="BS133" s="123">
        <v>0</v>
      </c>
      <c r="BT133" s="123">
        <f>(BS133/12*2*$E133*$G133*$H133*$N133)+(BS133/12*10*$F133*$G133*$H133*$N133)</f>
        <v>0</v>
      </c>
      <c r="BU133" s="123"/>
      <c r="BV133" s="123">
        <f>(BU133/12*2*$E133*$G133*$H133*$M133)+(BU133/12*10*$F133*$G133*$H133*$M133)</f>
        <v>0</v>
      </c>
      <c r="BW133" s="123"/>
      <c r="BX133" s="123">
        <f>(BW133/12*2*$E133*$G133*$H133*$M133)+(BW133/12*10*$F133*$G133*$H133*$M133)</f>
        <v>0</v>
      </c>
      <c r="BY133" s="123"/>
      <c r="BZ133" s="123">
        <f>(BY133/12*2*$E133*$G133*$H133*$M133)+(BY133/12*10*$F133*$G133*$H133*$M133)</f>
        <v>0</v>
      </c>
      <c r="CA133" s="123"/>
      <c r="CB133" s="123">
        <f>(CA133/12*2*$E133*$G133*$H133*$M133)+(CA133/12*10*$F133*$G133*$H133*$M133)</f>
        <v>0</v>
      </c>
      <c r="CC133" s="123"/>
      <c r="CD133" s="123">
        <f>(CC133/12*2*$E133*$G133*$H133*$M133)+(CC133/12*10*$F133*$G133*$H133*$M133)</f>
        <v>0</v>
      </c>
      <c r="CE133" s="123"/>
      <c r="CF133" s="123">
        <f>(CE133/12*10*$F133*$G133*$H133*$N133)</f>
        <v>0</v>
      </c>
      <c r="CG133" s="132"/>
      <c r="CH133" s="123">
        <f>(CG133/12*2*$E133*$G133*$H133*$N133)+(CG133/12*10*$F133*$G133*$H133*$N133)</f>
        <v>0</v>
      </c>
      <c r="CI133" s="123"/>
      <c r="CJ133" s="127">
        <f>(CI133*$E133*$G133*$H133*$N133)</f>
        <v>0</v>
      </c>
      <c r="CK133" s="123"/>
      <c r="CL133" s="123">
        <f>(CK133/12*2*$E133*$G133*$H133*$N133)+(CK133/12*10*$F133*$G133*$H133*$N133)</f>
        <v>0</v>
      </c>
      <c r="CM133" s="130"/>
      <c r="CN133" s="123">
        <f>(CM133/12*2*$E133*$G133*$H133*$N133)+(CM133/12*10*$F133*$G133*$H133*$N133)</f>
        <v>0</v>
      </c>
      <c r="CO133" s="123">
        <v>0</v>
      </c>
      <c r="CP133" s="123">
        <v>0</v>
      </c>
      <c r="CQ133" s="123"/>
      <c r="CR133" s="123">
        <f>(CQ133/12*2*$E133*$G133*$H133*$O133)+(CQ133/12*10*$F133*$G133*$H133*$O133)</f>
        <v>0</v>
      </c>
      <c r="CS133" s="123"/>
      <c r="CT133" s="127">
        <f>(CS133/12*2*$E133*$G133*$H133*$P133)+(CS133/12*10*$F133*$G133*$H133*$P133)</f>
        <v>0</v>
      </c>
      <c r="CU133" s="127"/>
      <c r="CV133" s="127"/>
      <c r="CW133" s="126">
        <f t="shared" si="195"/>
        <v>104</v>
      </c>
      <c r="CX133" s="126">
        <f t="shared" si="195"/>
        <v>8961951.5439999998</v>
      </c>
    </row>
    <row r="134" spans="1:102" ht="30" x14ac:dyDescent="0.25">
      <c r="A134" s="91"/>
      <c r="B134" s="116">
        <v>106</v>
      </c>
      <c r="C134" s="117" t="s">
        <v>357</v>
      </c>
      <c r="D134" s="161" t="s">
        <v>358</v>
      </c>
      <c r="E134" s="95">
        <v>28004</v>
      </c>
      <c r="F134" s="96">
        <v>29405</v>
      </c>
      <c r="G134" s="119">
        <v>0.74</v>
      </c>
      <c r="H134" s="107">
        <v>1</v>
      </c>
      <c r="I134" s="108"/>
      <c r="J134" s="108"/>
      <c r="K134" s="108"/>
      <c r="L134" s="63"/>
      <c r="M134" s="120">
        <v>1.4</v>
      </c>
      <c r="N134" s="120">
        <v>1.68</v>
      </c>
      <c r="O134" s="120">
        <v>2.23</v>
      </c>
      <c r="P134" s="121">
        <v>2.57</v>
      </c>
      <c r="Q134" s="122">
        <v>47</v>
      </c>
      <c r="R134" s="123">
        <f>(Q134/12*2*$E134*$G134*$H134*$M134*$R$11)+(Q134/12*10*$F134*$G134*$H134*$M134*$R$11)</f>
        <v>1562460.5458000002</v>
      </c>
      <c r="S134" s="124">
        <v>962</v>
      </c>
      <c r="T134" s="125">
        <f>(S134/12*2*$E134*$G134*$H134*$M134*$R$11)+(S134/12*10*$F134*$G134*$H134*$M134*$R$11)</f>
        <v>31980575.426800001</v>
      </c>
      <c r="U134" s="123">
        <v>227</v>
      </c>
      <c r="V134" s="123">
        <f>(U134/12*2*$E134*$G134*$H134*$M134*$V$11)+(U134/12*10*$F134*$G134*$H134*$M134*$V$12)</f>
        <v>9201059.425366668</v>
      </c>
      <c r="W134" s="123"/>
      <c r="X134" s="126">
        <f>(W134/12*2*$E134*$G134*$H134*$M134*$X$11)+(W134/12*10*$F134*$G134*$H134*$M134*$X$12)</f>
        <v>0</v>
      </c>
      <c r="Y134" s="123"/>
      <c r="Z134" s="123">
        <f>(Y134/12*2*$E134*$G134*$H134*$M134*$Z$11)+(Y134/12*10*$F134*$G134*$H134*$M134*$Z$12)</f>
        <v>0</v>
      </c>
      <c r="AA134" s="123"/>
      <c r="AB134" s="123">
        <f>(AA134/12*2*$E134*$G134*$H134*$M134*$AB$11)+(AA134/12*10*$F134*$G134*$H134*$M134*$AB$11)</f>
        <v>0</v>
      </c>
      <c r="AC134" s="123"/>
      <c r="AD134" s="123"/>
      <c r="AE134" s="123">
        <f>51+3+9</f>
        <v>63</v>
      </c>
      <c r="AF134" s="127">
        <f>(AE134/12*2*$E134*$G134*$H134*$M134*$AF$11)+(AE134/12*10*$F134*$G134*$H134*$M134*$AF$11)</f>
        <v>2094362.0082</v>
      </c>
      <c r="AG134" s="123">
        <f>12-2</f>
        <v>10</v>
      </c>
      <c r="AH134" s="126">
        <f>(AG134/12*2*$E134*$G134*$H134*$M134*$AH$11)+(AG134/12*10*$F134*$G134*$H134*$M134*$AH$11)</f>
        <v>332438.41399999999</v>
      </c>
      <c r="AI134" s="130">
        <v>3</v>
      </c>
      <c r="AJ134" s="123">
        <f t="shared" ref="AJ134:AJ137" si="197">(AI134/12*2*$E134*$G134*$H134*$M134*$AJ$11)+(AI134/12*5*$F134*$G134*$H134*$M134*$AJ$12)+(AI134/12*5*$F134*$G134*$H134*$M134*$AJ$13)</f>
        <v>117102.93909999999</v>
      </c>
      <c r="AK134" s="123">
        <v>33</v>
      </c>
      <c r="AL134" s="123">
        <f>(AK134/12*2*$E134*$G134*$H134*$N134*$AL$11)+(AK134/12*5*$F134*$G134*$H134*$N134*$AL$12)+(AK134/12*5*$F134*$G134*$H134*$N134*$AL$13)</f>
        <v>1545758.7961200001</v>
      </c>
      <c r="AM134" s="132"/>
      <c r="AN134" s="123">
        <f>(AM134/12*2*$E134*$G134*$H134*$N134*$AN$11)+(AM134/12*10*$F134*$G134*$H134*$N134*$AN$12)</f>
        <v>0</v>
      </c>
      <c r="AO134" s="130">
        <v>7</v>
      </c>
      <c r="AP134" s="127">
        <f>(AO134/12*2*$E134*$G134*$H134*$N134*$AP$11)+(AO134/12*10*$F134*$G134*$H134*$N134*$AP$11)</f>
        <v>279248.26776000002</v>
      </c>
      <c r="AQ134" s="127">
        <v>11</v>
      </c>
      <c r="AR134" s="127">
        <v>434667.62999999995</v>
      </c>
      <c r="AS134" s="123"/>
      <c r="AT134" s="123">
        <f>(AS134/12*2*$E134*$G134*$H134*$M134*$AT$11)+(AS134/12*10*$F134*$G134*$H134*$M134*$AT$11)</f>
        <v>0</v>
      </c>
      <c r="AU134" s="123"/>
      <c r="AV134" s="126">
        <f>(AU134/12*2*$E134*$G134*$H134*$M134*$AV$11)+(AU134/12*10*$F134*$G134*$H134*$M134*$AV$12)</f>
        <v>0</v>
      </c>
      <c r="AW134" s="123">
        <v>21</v>
      </c>
      <c r="AX134" s="123">
        <f>(AW134/12*2*$E134*$G134*$H134*$M134*$AX$11)+(AW134/12*10*$F134*$G134*$H134*$M134*$AX$12)</f>
        <v>729599.42579999997</v>
      </c>
      <c r="AY134" s="123">
        <v>66</v>
      </c>
      <c r="AZ134" s="123">
        <f>(AY134/12*2*$E134*$G134*$H134*$N134*$AZ$11)+(AY134/12*10*$F134*$G134*$H134*$N134*$AZ$11)</f>
        <v>2632912.2388800001</v>
      </c>
      <c r="BA134" s="123">
        <v>200</v>
      </c>
      <c r="BB134" s="123">
        <f>(BA134/12*2*$E134*$G134*$H134*$N134*$BB$11)+(BA134/12*10*$F134*$G134*$H134*$N134*$BB$12)</f>
        <v>7009493.1199999992</v>
      </c>
      <c r="BC134" s="123"/>
      <c r="BD134" s="126">
        <f>(BC134/12*2*$E134*$G134*$H134*$N134*$BD$11)+(BC134/12*10*$F134*$G134*$H134*$N134*$BD$12)</f>
        <v>0</v>
      </c>
      <c r="BE134" s="123">
        <v>85</v>
      </c>
      <c r="BF134" s="123">
        <f>(BE134/12*10*$F134*$G134*$H134*$N134*$BF$12)</f>
        <v>2589404.2999999998</v>
      </c>
      <c r="BG134" s="123">
        <v>37</v>
      </c>
      <c r="BH134" s="123">
        <f>(BG134/12*2*$E134*$G134*$H134*$N134*$BH$11)+(BG134/12*10*$F134*$G134*$H134*$N134*$BH$11)</f>
        <v>1207658.0930399999</v>
      </c>
      <c r="BI134" s="123">
        <v>14</v>
      </c>
      <c r="BJ134" s="126">
        <f>(BI134/12*2*$E134*$G134*$H134*$N134*$BJ$11)+(BI134/12*10*$F134*$G134*$H134*$N134*$BJ$11)</f>
        <v>609268.94783999992</v>
      </c>
      <c r="BK134" s="123">
        <v>85</v>
      </c>
      <c r="BL134" s="127">
        <f>(BK134/12*2*$E134*$G134*$H134*$N134*$BL$11)+(BK134/12*10*$F134*$G134*$H134*$N134*$BL$11)</f>
        <v>3699132.8975999998</v>
      </c>
      <c r="BM134" s="123"/>
      <c r="BN134" s="123">
        <f>(BM134/12*2*$E134*$G134*$H134*$M134*$BN$11)+(BM134/12*10*$F134*$G134*$H134*$M134*$BN$11)</f>
        <v>0</v>
      </c>
      <c r="BO134" s="123">
        <v>109</v>
      </c>
      <c r="BP134" s="123">
        <f>(BO134/12*2*$E134*$G134*$H134*$M134*$BP$11)+(BO134/12*10*$F134*$G134*$H134*$M134*$BP$12)</f>
        <v>3017451.6143333334</v>
      </c>
      <c r="BQ134" s="123"/>
      <c r="BR134" s="123">
        <f>(BQ134/12*2*$E134*$G134*$H134*$M134*$BR$11)+(BQ134/12*10*$F134*$G134*$H134*$M134*$BR$11)</f>
        <v>0</v>
      </c>
      <c r="BS134" s="123">
        <v>80</v>
      </c>
      <c r="BT134" s="123">
        <f>(BS134/12*2*$E134*$G134*$H134*$N134*$BT$11)+(BS134/12*10*$F134*$G134*$H134*$N134*$BT$11)</f>
        <v>2901280.7039999999</v>
      </c>
      <c r="BU134" s="123"/>
      <c r="BV134" s="126">
        <f>(BU134/12*2*$E134*$G134*$H134*$M134*$BV$11)+(BU134/12*10*$F134*$G134*$H134*$M134*$BV$11)</f>
        <v>0</v>
      </c>
      <c r="BW134" s="123"/>
      <c r="BX134" s="123">
        <f>(BW134/12*2*$E134*$G134*$H134*$M134*$BX$11)+(BW134/12*10*$F134*$G134*$H134*$M134*$BX$11)</f>
        <v>0</v>
      </c>
      <c r="BY134" s="123">
        <v>116</v>
      </c>
      <c r="BZ134" s="123">
        <f>(BY134/12*2*$E134*$G134*$H134*$M134*$BZ$11)+(BY134/12*10*$F134*$G134*$H134*$M134*$BZ$11)</f>
        <v>3505714.1839999994</v>
      </c>
      <c r="CA134" s="123">
        <v>167</v>
      </c>
      <c r="CB134" s="123">
        <f>(CA134/12*2*$E134*$G134*$H134*$M134*$CB$11)+(CA134/12*10*$F134*$G134*$H134*$M134*$CB$11)</f>
        <v>6056423.4695999995</v>
      </c>
      <c r="CC134" s="123">
        <v>14</v>
      </c>
      <c r="CD134" s="123">
        <f>(CC134/12*2*$E134*$G134*$H134*$M134*$CD$11)+(CC134/12*10*$F134*$G134*$H134*$M134*$CD$11)</f>
        <v>423103.43599999999</v>
      </c>
      <c r="CE134" s="123"/>
      <c r="CF134" s="123">
        <f>(CE134/12*10*$F134*$G134*$H134*$N134*$CF$11)</f>
        <v>0</v>
      </c>
      <c r="CG134" s="132"/>
      <c r="CH134" s="123">
        <f>(CG134/12*2*$E134*$G134*$H134*$N134*$CH$11)+(CG134/12*10*$F134*$G134*$H134*$N134*$CH$11)</f>
        <v>0</v>
      </c>
      <c r="CI134" s="123"/>
      <c r="CJ134" s="127">
        <f t="shared" ref="CJ134:CJ140" si="198">(CI134*$E134*$G134*$H134*$N134*CJ$11)</f>
        <v>0</v>
      </c>
      <c r="CK134" s="123"/>
      <c r="CL134" s="123">
        <f>(CK134/12*2*$E134*$G134*$H134*$N134*$CL$11)+(CK134/12*10*$F134*$G134*$H134*$N134*$CL$12)</f>
        <v>0</v>
      </c>
      <c r="CM134" s="130"/>
      <c r="CN134" s="123">
        <f>(CM134/12*2*$E134*$G134*$H134*$N134*$CN$11)+(CM134/12*10*$F134*$G134*$H134*$N134*$CN$11)</f>
        <v>0</v>
      </c>
      <c r="CO134" s="123">
        <v>105</v>
      </c>
      <c r="CP134" s="123">
        <v>224557.99</v>
      </c>
      <c r="CQ134" s="123">
        <v>10</v>
      </c>
      <c r="CR134" s="123">
        <f>(CQ134/12*2*$E134*$G134*$H134*$O134*$CR$11)+(CQ134/12*10*$F134*$G134*$H134*$O134*$CR$11)</f>
        <v>481388.09300000005</v>
      </c>
      <c r="CS134" s="123">
        <v>25</v>
      </c>
      <c r="CT134" s="133">
        <f>(CS134/12*2*$E134*$G134*$H134*$P134*$CT$11)+(CS134/12*10*$F134*$G134*$H134*$P134*$CT$11)</f>
        <v>1386958.9675</v>
      </c>
      <c r="CU134" s="127"/>
      <c r="CV134" s="123">
        <f t="shared" ref="CV134:CV140" si="199">(CU134*$E134*$G134*$H134*$M134*CV$11)/12*6+(CU134*$E134*$G134*$H134*1*CV$11)/12*6</f>
        <v>0</v>
      </c>
      <c r="CW134" s="126">
        <f t="shared" si="195"/>
        <v>2497</v>
      </c>
      <c r="CX134" s="126">
        <f t="shared" si="195"/>
        <v>84022020.934739992</v>
      </c>
    </row>
    <row r="135" spans="1:102" ht="30" x14ac:dyDescent="0.25">
      <c r="A135" s="91"/>
      <c r="B135" s="116">
        <v>107</v>
      </c>
      <c r="C135" s="117" t="s">
        <v>359</v>
      </c>
      <c r="D135" s="161" t="s">
        <v>360</v>
      </c>
      <c r="E135" s="95">
        <v>28004</v>
      </c>
      <c r="F135" s="96">
        <v>29405</v>
      </c>
      <c r="G135" s="119">
        <v>0.99</v>
      </c>
      <c r="H135" s="107">
        <v>1</v>
      </c>
      <c r="I135" s="108"/>
      <c r="J135" s="108"/>
      <c r="K135" s="108"/>
      <c r="L135" s="63"/>
      <c r="M135" s="120">
        <v>1.4</v>
      </c>
      <c r="N135" s="120">
        <v>1.68</v>
      </c>
      <c r="O135" s="120">
        <v>2.23</v>
      </c>
      <c r="P135" s="121">
        <v>2.57</v>
      </c>
      <c r="Q135" s="122">
        <v>35</v>
      </c>
      <c r="R135" s="123">
        <f>(Q135/12*2*$E135*$G135*$H135*$M135*$R$11)+(Q135/12*10*$F135*$G135*$H135*$M135*$R$11)</f>
        <v>1556620.4114999999</v>
      </c>
      <c r="S135" s="124">
        <v>42</v>
      </c>
      <c r="T135" s="125">
        <f>(S135/12*2*$E135*$G135*$H135*$M135*$R$11)+(S135/12*10*$F135*$G135*$H135*$M135*$R$11)</f>
        <v>1867944.4937999998</v>
      </c>
      <c r="U135" s="123">
        <v>75</v>
      </c>
      <c r="V135" s="123">
        <f>(U135/12*2*$E135*$G135*$H135*$M135*$V$11)+(U135/12*10*$F135*$G135*$H135*$M135*$V$12)</f>
        <v>4067023.8262500004</v>
      </c>
      <c r="W135" s="123"/>
      <c r="X135" s="126">
        <f>(W135/12*2*$E135*$G135*$H135*$M135*$X$11)+(W135/12*10*$F135*$G135*$H135*$M135*$X$12)</f>
        <v>0</v>
      </c>
      <c r="Y135" s="123"/>
      <c r="Z135" s="123">
        <f>(Y135/12*2*$E135*$G135*$H135*$M135*$Z$11)+(Y135/12*10*$F135*$G135*$H135*$M135*$Z$12)</f>
        <v>0</v>
      </c>
      <c r="AA135" s="123"/>
      <c r="AB135" s="123">
        <f>(AA135/12*2*$E135*$G135*$H135*$M135*$AB$11)+(AA135/12*10*$F135*$G135*$H135*$M135*$AB$11)</f>
        <v>0</v>
      </c>
      <c r="AC135" s="123"/>
      <c r="AD135" s="123"/>
      <c r="AE135" s="123">
        <f>25+2+3</f>
        <v>30</v>
      </c>
      <c r="AF135" s="123">
        <f>(AE135/12*2*$E135*$G135*$H135*$M135*$AF$11)+(AE135/12*10*$F135*$G135*$H135*$M135*$AF$11)</f>
        <v>1334246.067</v>
      </c>
      <c r="AG135" s="135">
        <v>0</v>
      </c>
      <c r="AH135" s="136">
        <f>(AG135/12*2*$E135*$G135*$H135*$M135*$AH$11)+(AG135/12*10*$F135*$G135*$H135*$M135*$AH$11)</f>
        <v>0</v>
      </c>
      <c r="AI135" s="123"/>
      <c r="AJ135" s="123">
        <f t="shared" si="197"/>
        <v>0</v>
      </c>
      <c r="AK135" s="123">
        <v>5</v>
      </c>
      <c r="AL135" s="123">
        <f t="shared" ref="AL135:AL137" si="200">(AK135/12*2*$E135*$G135*$H135*$N135*$AL$11)+(AK135/12*5*$F135*$G135*$H135*$N135*$AL$12)+(AK135/12*5*$F135*$G135*$H135*$N135*$AL$13)</f>
        <v>313329.48570000002</v>
      </c>
      <c r="AM135" s="132"/>
      <c r="AN135" s="123">
        <f>(AM135/12*2*$E135*$G135*$H135*$N135*$AN$11)+(AM135/12*10*$F135*$G135*$H135*$N135*$AN$12)</f>
        <v>0</v>
      </c>
      <c r="AO135" s="130"/>
      <c r="AP135" s="127">
        <f>(AO135/12*2*$E135*$G135*$H135*$N135*$AP$11)+(AO135/12*10*$F135*$G135*$H135*$N135*$AP$11)</f>
        <v>0</v>
      </c>
      <c r="AQ135" s="127">
        <v>1</v>
      </c>
      <c r="AR135" s="127">
        <v>53797.04</v>
      </c>
      <c r="AS135" s="123"/>
      <c r="AT135" s="123">
        <f>(AS135/12*2*$E135*$G135*$H135*$M135*$AT$11)+(AS135/12*10*$F135*$G135*$H135*$M135*$AT$11)</f>
        <v>0</v>
      </c>
      <c r="AU135" s="123"/>
      <c r="AV135" s="126">
        <f>(AU135/12*2*$E135*$G135*$H135*$M135*$AV$11)+(AU135/12*10*$F135*$G135*$H135*$M135*$AV$12)</f>
        <v>0</v>
      </c>
      <c r="AW135" s="123">
        <v>2</v>
      </c>
      <c r="AX135" s="123">
        <f>(AW135/12*2*$E135*$G135*$H135*$M135*$AX$11)+(AW135/12*10*$F135*$G135*$H135*$M135*$AX$12)</f>
        <v>92960.544599999979</v>
      </c>
      <c r="AY135" s="123">
        <v>36</v>
      </c>
      <c r="AZ135" s="123">
        <f>(AY135/12*2*$E135*$G135*$H135*$N135*$AZ$11)+(AY135/12*10*$F135*$G135*$H135*$N135*$AZ$11)</f>
        <v>1921314.3364800001</v>
      </c>
      <c r="BA135" s="123">
        <v>29</v>
      </c>
      <c r="BB135" s="123">
        <f>(BA135/12*2*$E135*$G135*$H135*$N135*$BB$11)+(BA135/12*10*$F135*$G135*$H135*$N135*$BB$12)</f>
        <v>1359746.9423999998</v>
      </c>
      <c r="BC135" s="123"/>
      <c r="BD135" s="126">
        <f>(BC135/12*2*$E135*$G135*$H135*$N135*$BD$11)+(BC135/12*10*$F135*$G135*$H135*$N135*$BD$12)</f>
        <v>0</v>
      </c>
      <c r="BE135" s="123">
        <v>1</v>
      </c>
      <c r="BF135" s="123">
        <f>(BE135/12*10*$F135*$G135*$H135*$N135*$BF$12)</f>
        <v>40755.329999999994</v>
      </c>
      <c r="BG135" s="123">
        <v>2</v>
      </c>
      <c r="BH135" s="123">
        <f>(BG135/12*2*$E135*$G135*$H135*$N135*$BH$11)+(BG135/12*10*$F135*$G135*$H135*$N135*$BH$11)</f>
        <v>87332.469839999991</v>
      </c>
      <c r="BI135" s="123">
        <v>3</v>
      </c>
      <c r="BJ135" s="126">
        <f>(BI135/12*2*$E135*$G135*$H135*$N135*$BJ$11)+(BI135/12*10*$F135*$G135*$H135*$N135*$BJ$11)</f>
        <v>174664.93967999998</v>
      </c>
      <c r="BK135" s="123">
        <v>10</v>
      </c>
      <c r="BL135" s="127">
        <f>(BK135/12*2*$E135*$G135*$H135*$N135*$BL$11)+(BK135/12*10*$F135*$G135*$H135*$N135*$BL$11)</f>
        <v>582216.4656</v>
      </c>
      <c r="BM135" s="123"/>
      <c r="BN135" s="123">
        <f>(BM135/12*2*$E135*$G135*$H135*$M135*$BN$11)+(BM135/12*10*$F135*$G135*$H135*$M135*$BN$11)</f>
        <v>0</v>
      </c>
      <c r="BO135" s="123"/>
      <c r="BP135" s="123">
        <f>(BO135/12*2*$E135*$G135*$H135*$M135*$BP$11)+(BO135/12*10*$F135*$G135*$H135*$M135*$BP$12)</f>
        <v>0</v>
      </c>
      <c r="BQ135" s="123"/>
      <c r="BR135" s="123">
        <f>(BQ135/12*2*$E135*$G135*$H135*$M135*$BR$11)+(BQ135/12*10*$F135*$G135*$H135*$M135*$BR$11)</f>
        <v>0</v>
      </c>
      <c r="BS135" s="123">
        <v>30</v>
      </c>
      <c r="BT135" s="123">
        <f>(BS135/12*2*$E135*$G135*$H135*$N135*$BT$11)+(BS135/12*10*$F135*$G135*$H135*$N135*$BT$11)</f>
        <v>1455541.1639999999</v>
      </c>
      <c r="BU135" s="123"/>
      <c r="BV135" s="126">
        <f>(BU135/12*2*$E135*$G135*$H135*$M135*$BV$11)+(BU135/12*10*$F135*$G135*$H135*$M135*$BV$11)</f>
        <v>0</v>
      </c>
      <c r="BW135" s="123"/>
      <c r="BX135" s="123">
        <f>(BW135/12*2*$E135*$G135*$H135*$M135*$BX$11)+(BW135/12*10*$F135*$G135*$H135*$M135*$BX$11)</f>
        <v>0</v>
      </c>
      <c r="BY135" s="123"/>
      <c r="BZ135" s="123">
        <f>(BY135/12*2*$E135*$G135*$H135*$M135*$BZ$11)+(BY135/12*10*$F135*$G135*$H135*$M135*$BZ$11)</f>
        <v>0</v>
      </c>
      <c r="CA135" s="123">
        <v>5</v>
      </c>
      <c r="CB135" s="123">
        <f>(CA135/12*2*$E135*$G135*$H135*$M135*$CB$11)+(CA135/12*10*$F135*$G135*$H135*$M135*$CB$11)</f>
        <v>242590.19399999999</v>
      </c>
      <c r="CC135" s="123"/>
      <c r="CD135" s="123">
        <f>(CC135/12*2*$E135*$G135*$H135*$M135*$CD$11)+(CC135/12*10*$F135*$G135*$H135*$M135*$CD$11)</f>
        <v>0</v>
      </c>
      <c r="CE135" s="123">
        <v>26</v>
      </c>
      <c r="CF135" s="123">
        <f>(CE135/12*10*$F135*$G135*$H135*$N135*$CF$11)</f>
        <v>1059638.5799999998</v>
      </c>
      <c r="CG135" s="132"/>
      <c r="CH135" s="123">
        <f>(CG135/12*2*$E135*$G135*$H135*$N135*$CH$11)+(CG135/12*10*$F135*$G135*$H135*$N135*$CH$11)</f>
        <v>0</v>
      </c>
      <c r="CI135" s="123"/>
      <c r="CJ135" s="127">
        <f t="shared" si="198"/>
        <v>0</v>
      </c>
      <c r="CK135" s="123"/>
      <c r="CL135" s="123">
        <f>(CK135/12*2*$E135*$G135*$H135*$N135*$CL$11)+(CK135/12*10*$F135*$G135*$H135*$N135*$CL$12)</f>
        <v>0</v>
      </c>
      <c r="CM135" s="130"/>
      <c r="CN135" s="123">
        <f>(CM135/12*2*$E135*$G135*$H135*$N135*$CN$11)+(CM135/12*10*$F135*$G135*$H135*$N135*$CN$11)</f>
        <v>0</v>
      </c>
      <c r="CO135" s="123">
        <v>0</v>
      </c>
      <c r="CP135" s="123">
        <v>0</v>
      </c>
      <c r="CQ135" s="123"/>
      <c r="CR135" s="123">
        <f>(CQ135/12*2*$E135*$G135*$H135*$O135*$CR$11)+(CQ135/12*10*$F135*$G135*$H135*$O135*$CR$11)</f>
        <v>0</v>
      </c>
      <c r="CS135" s="123">
        <v>3</v>
      </c>
      <c r="CT135" s="133">
        <f>(CS135/12*2*$E135*$G135*$H135*$P135*$CT$11)+(CS135/12*10*$F135*$G135*$H135*$P135*$CT$11)</f>
        <v>222663.14234999998</v>
      </c>
      <c r="CU135" s="127"/>
      <c r="CV135" s="123">
        <f t="shared" si="199"/>
        <v>0</v>
      </c>
      <c r="CW135" s="126">
        <f t="shared" si="195"/>
        <v>335</v>
      </c>
      <c r="CX135" s="126">
        <f t="shared" si="195"/>
        <v>16432385.433199998</v>
      </c>
    </row>
    <row r="136" spans="1:102" ht="30" x14ac:dyDescent="0.25">
      <c r="A136" s="91"/>
      <c r="B136" s="116">
        <v>108</v>
      </c>
      <c r="C136" s="117" t="s">
        <v>361</v>
      </c>
      <c r="D136" s="161" t="s">
        <v>362</v>
      </c>
      <c r="E136" s="95">
        <v>28004</v>
      </c>
      <c r="F136" s="96">
        <v>29405</v>
      </c>
      <c r="G136" s="119">
        <v>1.1499999999999999</v>
      </c>
      <c r="H136" s="107">
        <v>1</v>
      </c>
      <c r="I136" s="108"/>
      <c r="J136" s="108"/>
      <c r="K136" s="108"/>
      <c r="L136" s="63"/>
      <c r="M136" s="120">
        <v>1.4</v>
      </c>
      <c r="N136" s="120">
        <v>1.68</v>
      </c>
      <c r="O136" s="120">
        <v>2.23</v>
      </c>
      <c r="P136" s="121">
        <v>2.57</v>
      </c>
      <c r="Q136" s="122">
        <v>37</v>
      </c>
      <c r="R136" s="123">
        <f>(Q136/12*2*$E136*$G136*$H136*$M136*$R$11)+(Q136/12*10*$F136*$G136*$H136*$M136*$R$11)</f>
        <v>1911520.8805</v>
      </c>
      <c r="S136" s="124">
        <v>154</v>
      </c>
      <c r="T136" s="125">
        <f>(S136/12*2*$E136*$G136*$H136*$M136*$R$11)+(S136/12*10*$F136*$G136*$H136*$M136*$R$11)</f>
        <v>7956059.8810000001</v>
      </c>
      <c r="U136" s="123">
        <v>10</v>
      </c>
      <c r="V136" s="123">
        <f>(U136/12*2*$E136*$G136*$H136*$M136*$V$11)+(U136/12*10*$F136*$G136*$H136*$M136*$V$12)</f>
        <v>629909.41416666657</v>
      </c>
      <c r="W136" s="123"/>
      <c r="X136" s="126">
        <f>(W136/12*2*$E136*$G136*$H136*$M136*$X$11)+(W136/12*10*$F136*$G136*$H136*$M136*$X$12)</f>
        <v>0</v>
      </c>
      <c r="Y136" s="123"/>
      <c r="Z136" s="123">
        <f>(Y136/12*2*$E136*$G136*$H136*$M136*$Z$11)+(Y136/12*10*$F136*$G136*$H136*$M136*$Z$12)</f>
        <v>0</v>
      </c>
      <c r="AA136" s="123"/>
      <c r="AB136" s="123">
        <f>(AA136/12*2*$E136*$G136*$H136*$M136*$AB$11)+(AA136/12*10*$F136*$G136*$H136*$M136*$AB$11)</f>
        <v>0</v>
      </c>
      <c r="AC136" s="123"/>
      <c r="AD136" s="123"/>
      <c r="AE136" s="123">
        <v>3</v>
      </c>
      <c r="AF136" s="123">
        <f>(AE136/12*2*$E136*$G136*$H136*$M136*$AF$11)+(AE136/12*10*$F136*$G136*$H136*$M136*$AF$11)</f>
        <v>154988.1795</v>
      </c>
      <c r="AG136" s="123">
        <v>0</v>
      </c>
      <c r="AH136" s="126">
        <f>(AG136/12*2*$E136*$G136*$H136*$M136*$AH$11)+(AG136/12*10*$F136*$G136*$H136*$M136*$AH$11)</f>
        <v>0</v>
      </c>
      <c r="AI136" s="123"/>
      <c r="AJ136" s="123">
        <f t="shared" si="197"/>
        <v>0</v>
      </c>
      <c r="AK136" s="123">
        <v>48</v>
      </c>
      <c r="AL136" s="123">
        <f t="shared" si="200"/>
        <v>3494098.5071999999</v>
      </c>
      <c r="AM136" s="132"/>
      <c r="AN136" s="123">
        <f>(AM136/12*2*$E136*$G136*$H136*$N136*$AN$11)+(AM136/12*10*$F136*$G136*$H136*$N136*$AN$12)</f>
        <v>0</v>
      </c>
      <c r="AO136" s="130"/>
      <c r="AP136" s="127">
        <f>(AO136/12*2*$E136*$G136*$H136*$N136*$AP$11)+(AO136/12*10*$F136*$G136*$H136*$N136*$AP$11)</f>
        <v>0</v>
      </c>
      <c r="AQ136" s="127">
        <v>6</v>
      </c>
      <c r="AR136" s="127">
        <v>368994.24</v>
      </c>
      <c r="AS136" s="123"/>
      <c r="AT136" s="123">
        <f>(AS136/12*2*$E136*$G136*$H136*$M136*$AT$11)+(AS136/12*10*$F136*$G136*$H136*$M136*$AT$11)</f>
        <v>0</v>
      </c>
      <c r="AU136" s="123"/>
      <c r="AV136" s="126">
        <f>(AU136/12*2*$E136*$G136*$H136*$M136*$AV$11)+(AU136/12*10*$F136*$G136*$H136*$M136*$AV$12)</f>
        <v>0</v>
      </c>
      <c r="AW136" s="123">
        <v>5</v>
      </c>
      <c r="AX136" s="123">
        <f>(AW136/12*2*$E136*$G136*$H136*$M136*$AX$11)+(AW136/12*10*$F136*$G136*$H136*$M136*$AX$12)</f>
        <v>269961.17749999993</v>
      </c>
      <c r="AY136" s="123">
        <v>55</v>
      </c>
      <c r="AZ136" s="123">
        <f>(AY136/12*2*$E136*$G136*$H136*$N136*$AZ$11)+(AY136/12*10*$F136*$G136*$H136*$N136*$AZ$11)</f>
        <v>3409739.9489999991</v>
      </c>
      <c r="BA136" s="123">
        <v>8</v>
      </c>
      <c r="BB136" s="123">
        <f>(BA136/12*2*$E136*$G136*$H136*$N136*$BB$11)+(BA136/12*10*$F136*$G136*$H136*$N136*$BB$12)</f>
        <v>435725.24799999991</v>
      </c>
      <c r="BC136" s="123"/>
      <c r="BD136" s="126">
        <f>(BC136/12*2*$E136*$G136*$H136*$N136*$BD$11)+(BC136/12*10*$F136*$G136*$H136*$N136*$BD$12)</f>
        <v>0</v>
      </c>
      <c r="BE136" s="123">
        <v>3</v>
      </c>
      <c r="BF136" s="123">
        <f>(BE136/12*10*$F136*$G136*$H136*$N136*$BF$12)</f>
        <v>142026.15</v>
      </c>
      <c r="BG136" s="123">
        <v>9</v>
      </c>
      <c r="BH136" s="123">
        <f>(BG136/12*2*$E136*$G136*$H136*$N136*$BH$11)+(BG136/12*10*$F136*$G136*$H136*$N136*$BH$11)</f>
        <v>456510.63779999997</v>
      </c>
      <c r="BI136" s="123">
        <v>34</v>
      </c>
      <c r="BJ136" s="126">
        <f>(BI136/12*2*$E136*$G136*$H136*$N136*$BJ$11)+(BI136/12*10*$F136*$G136*$H136*$N136*$BJ$11)</f>
        <v>2299460.9904</v>
      </c>
      <c r="BK136" s="123">
        <v>20</v>
      </c>
      <c r="BL136" s="127">
        <f>(BK136/12*2*$E136*$G136*$H136*$N136*$BL$11)+(BK136/12*10*$F136*$G136*$H136*$N136*$BL$11)</f>
        <v>1352624.112</v>
      </c>
      <c r="BM136" s="123"/>
      <c r="BN136" s="123">
        <f>(BM136/12*2*$E136*$G136*$H136*$M136*$BN$11)+(BM136/12*10*$F136*$G136*$H136*$M136*$BN$11)</f>
        <v>0</v>
      </c>
      <c r="BO136" s="123"/>
      <c r="BP136" s="123">
        <f>(BO136/12*2*$E136*$G136*$H136*$M136*$BP$11)+(BO136/12*10*$F136*$G136*$H136*$M136*$BP$12)</f>
        <v>0</v>
      </c>
      <c r="BQ136" s="123"/>
      <c r="BR136" s="123">
        <f>(BQ136/12*2*$E136*$G136*$H136*$M136*$BR$11)+(BQ136/12*10*$F136*$G136*$H136*$M136*$BR$11)</f>
        <v>0</v>
      </c>
      <c r="BS136" s="123">
        <v>5</v>
      </c>
      <c r="BT136" s="123">
        <f>(BS136/12*2*$E136*$G136*$H136*$N136*$BT$11)+(BS136/12*10*$F136*$G136*$H136*$N136*$BT$11)</f>
        <v>281796.69</v>
      </c>
      <c r="BU136" s="123"/>
      <c r="BV136" s="126">
        <f>(BU136/12*2*$E136*$G136*$H136*$M136*$BV$11)+(BU136/12*10*$F136*$G136*$H136*$M136*$BV$11)</f>
        <v>0</v>
      </c>
      <c r="BW136" s="123"/>
      <c r="BX136" s="123">
        <f>(BW136/12*2*$E136*$G136*$H136*$M136*$BX$11)+(BW136/12*10*$F136*$G136*$H136*$M136*$BX$11)</f>
        <v>0</v>
      </c>
      <c r="BY136" s="123">
        <v>45</v>
      </c>
      <c r="BZ136" s="123">
        <f>(BY136/12*2*$E136*$G136*$H136*$M136*$BZ$11)+(BY136/12*10*$F136*$G136*$H136*$M136*$BZ$11)</f>
        <v>2113475.1749999998</v>
      </c>
      <c r="CA136" s="123">
        <v>19</v>
      </c>
      <c r="CB136" s="123">
        <f>(CA136/12*2*$E136*$G136*$H136*$M136*$CB$11)+(CA136/12*10*$F136*$G136*$H136*$M136*$CB$11)</f>
        <v>1070827.4219999998</v>
      </c>
      <c r="CC136" s="123">
        <v>3</v>
      </c>
      <c r="CD136" s="123">
        <f>(CC136/12*2*$E136*$G136*$H136*$M136*$CD$11)+(CC136/12*10*$F136*$G136*$H136*$M136*$CD$11)</f>
        <v>140898.34499999997</v>
      </c>
      <c r="CE136" s="123"/>
      <c r="CF136" s="123">
        <f>(CE136/12*10*$F136*$G136*$H136*$N136*$CF$11)</f>
        <v>0</v>
      </c>
      <c r="CG136" s="132"/>
      <c r="CH136" s="123">
        <f>(CG136/12*2*$E136*$G136*$H136*$N136*$CH$11)+(CG136/12*10*$F136*$G136*$H136*$N136*$CH$11)</f>
        <v>0</v>
      </c>
      <c r="CI136" s="123"/>
      <c r="CJ136" s="127">
        <f t="shared" si="198"/>
        <v>0</v>
      </c>
      <c r="CK136" s="123">
        <v>8</v>
      </c>
      <c r="CL136" s="123">
        <f>(CK136/12*2*$E136*$G136*$H136*$N136*$CL$11)+(CK136/12*10*$F136*$G136*$H136*$N136*$CL$12)</f>
        <v>398573.40319999994</v>
      </c>
      <c r="CM136" s="130"/>
      <c r="CN136" s="123">
        <f>(CM136/12*2*$E136*$G136*$H136*$N136*$CN$11)+(CM136/12*10*$F136*$G136*$H136*$N136*$CN$11)</f>
        <v>0</v>
      </c>
      <c r="CO136" s="123">
        <v>0</v>
      </c>
      <c r="CP136" s="123">
        <v>0</v>
      </c>
      <c r="CQ136" s="123"/>
      <c r="CR136" s="123">
        <f>(CQ136/12*2*$E136*$G136*$H136*$O136*$CR$11)+(CQ136/12*10*$F136*$G136*$H136*$O136*$CR$11)</f>
        <v>0</v>
      </c>
      <c r="CS136" s="123"/>
      <c r="CT136" s="133">
        <f>(CS136/12*2*$E136*$G136*$H136*$P136*$CT$11)+(CS136/12*10*$F136*$G136*$H136*$P136*$CT$11)</f>
        <v>0</v>
      </c>
      <c r="CU136" s="127"/>
      <c r="CV136" s="123">
        <f t="shared" si="199"/>
        <v>0</v>
      </c>
      <c r="CW136" s="126">
        <f t="shared" si="195"/>
        <v>472</v>
      </c>
      <c r="CX136" s="126">
        <f t="shared" si="195"/>
        <v>26887190.402266666</v>
      </c>
    </row>
    <row r="137" spans="1:102" ht="18.75" x14ac:dyDescent="0.25">
      <c r="A137" s="91"/>
      <c r="B137" s="116">
        <v>109</v>
      </c>
      <c r="C137" s="117" t="s">
        <v>363</v>
      </c>
      <c r="D137" s="161" t="s">
        <v>364</v>
      </c>
      <c r="E137" s="95">
        <v>28004</v>
      </c>
      <c r="F137" s="96">
        <v>29405</v>
      </c>
      <c r="G137" s="119">
        <v>2.82</v>
      </c>
      <c r="H137" s="107">
        <v>1</v>
      </c>
      <c r="I137" s="203"/>
      <c r="J137" s="203"/>
      <c r="K137" s="203"/>
      <c r="L137" s="63"/>
      <c r="M137" s="120">
        <v>1.4</v>
      </c>
      <c r="N137" s="120">
        <v>1.68</v>
      </c>
      <c r="O137" s="120">
        <v>2.23</v>
      </c>
      <c r="P137" s="121">
        <v>2.57</v>
      </c>
      <c r="Q137" s="204">
        <v>40</v>
      </c>
      <c r="R137" s="123">
        <f>(Q137/12*2*$E137*$G137*$H137*$M137*$R$11)+(Q137/12*10*$F137*$G137*$H137*$M137*$R$11)</f>
        <v>5067439.608</v>
      </c>
      <c r="S137" s="124">
        <v>197</v>
      </c>
      <c r="T137" s="125">
        <f>(S137/12*2*$E137*$G137*$H137*$M137*$R$11)+(S137/12*10*$F137*$G137*$H137*$M137*$R$11)</f>
        <v>24957140.069400001</v>
      </c>
      <c r="U137" s="123">
        <v>3</v>
      </c>
      <c r="V137" s="123">
        <f>(U137/12*2*$E137*$G137*$H137*$M137*$V$11)+(U137/12*10*$F137*$G137*$H137*$M137*$V$12)</f>
        <v>463394.22989999992</v>
      </c>
      <c r="W137" s="123"/>
      <c r="X137" s="126">
        <f>(W137/12*2*$E137*$G137*$H137*$M137*$X$11)+(W137/12*10*$F137*$G137*$H137*$M137*$X$12)</f>
        <v>0</v>
      </c>
      <c r="Y137" s="123"/>
      <c r="Z137" s="123">
        <f>(Y137/12*2*$E137*$G137*$H137*$M137*$Z$11)+(Y137/12*10*$F137*$G137*$H137*$M137*$Z$12)</f>
        <v>0</v>
      </c>
      <c r="AA137" s="123"/>
      <c r="AB137" s="123">
        <f>(AA137/12*2*$E137*$G137*$H137*$M137*$AB$11)+(AA137/12*10*$F137*$G137*$H137*$M137*$AB$11)</f>
        <v>0</v>
      </c>
      <c r="AC137" s="123"/>
      <c r="AD137" s="123"/>
      <c r="AE137" s="123">
        <v>2</v>
      </c>
      <c r="AF137" s="127">
        <f>(AE137/12*2*$E137*$G137*$H137*$M137*$AF$11)+(AE137/12*10*$F137*$G137*$H137*$M137*$AF$11)</f>
        <v>253371.98039999994</v>
      </c>
      <c r="AG137" s="123">
        <v>5</v>
      </c>
      <c r="AH137" s="126">
        <f>(AG137/12*2*$E137*$G137*$H137*$M137*$AH$11)+(AG137/12*10*$F137*$G137*$H137*$M137*$AH$11)</f>
        <v>633429.951</v>
      </c>
      <c r="AI137" s="130">
        <v>1</v>
      </c>
      <c r="AJ137" s="123">
        <f t="shared" si="197"/>
        <v>148752.38209999999</v>
      </c>
      <c r="AK137" s="123">
        <v>231</v>
      </c>
      <c r="AL137" s="123">
        <f t="shared" si="200"/>
        <v>41234160.318120003</v>
      </c>
      <c r="AM137" s="132"/>
      <c r="AN137" s="123">
        <f>(AM137/12*2*$E137*$G137*$H137*$N137*$AN$11)+(AM137/12*10*$F137*$G137*$H137*$N137*$AN$12)</f>
        <v>0</v>
      </c>
      <c r="AO137" s="130">
        <v>1</v>
      </c>
      <c r="AP137" s="127">
        <f>(AO137/12*2*$E137*$G137*$H137*$N137*$AP$11)+(AO137/12*10*$F137*$G137*$H137*$N137*$AP$11)</f>
        <v>152023.18823999999</v>
      </c>
      <c r="AQ137" s="127">
        <v>0</v>
      </c>
      <c r="AR137" s="127">
        <v>0</v>
      </c>
      <c r="AS137" s="123"/>
      <c r="AT137" s="123">
        <f>(AS137/12*2*$E137*$G137*$H137*$M137*$AT$11)+(AS137/12*10*$F137*$G137*$H137*$M137*$AT$11)</f>
        <v>0</v>
      </c>
      <c r="AU137" s="123"/>
      <c r="AV137" s="126">
        <f>(AU137/12*2*$E137*$G137*$H137*$M137*$AV$11)+(AU137/12*10*$F137*$G137*$H137*$M137*$AV$12)</f>
        <v>0</v>
      </c>
      <c r="AW137" s="123"/>
      <c r="AX137" s="123">
        <f>(AW137/12*2*$E137*$G137*$H137*$M137*$AX$11)+(AW137/12*10*$F137*$G137*$H137*$M137*$AX$12)</f>
        <v>0</v>
      </c>
      <c r="AY137" s="123">
        <v>48</v>
      </c>
      <c r="AZ137" s="123">
        <f>(AY137/12*2*$E137*$G137*$H137*$N137*$AZ$11)+(AY137/12*10*$F137*$G137*$H137*$N137*$AZ$11)</f>
        <v>7297113.0355200004</v>
      </c>
      <c r="BA137" s="123"/>
      <c r="BB137" s="123">
        <f>(BA137/12*2*$E137*$G137*$H137*$N137*$BB$11)+(BA137/12*10*$F137*$G137*$H137*$N137*$BB$12)</f>
        <v>0</v>
      </c>
      <c r="BC137" s="123"/>
      <c r="BD137" s="126">
        <f>(BC137/12*2*$E137*$G137*$H137*$N137*$BD$11)+(BC137/12*10*$F137*$G137*$H137*$N137*$BD$12)</f>
        <v>0</v>
      </c>
      <c r="BE137" s="123"/>
      <c r="BF137" s="123">
        <f>(BE137/12*10*$F137*$G137*$H137*$N137*$BF$12)</f>
        <v>0</v>
      </c>
      <c r="BG137" s="123"/>
      <c r="BH137" s="123">
        <f>(BG137/12*2*$E137*$G137*$H137*$N137*$BH$11)+(BG137/12*10*$F137*$G137*$H137*$N137*$BH$11)</f>
        <v>0</v>
      </c>
      <c r="BI137" s="123">
        <v>15</v>
      </c>
      <c r="BJ137" s="126">
        <f>(BI137/12*2*$E137*$G137*$H137*$N137*$BJ$11)+(BI137/12*10*$F137*$G137*$H137*$N137*$BJ$11)</f>
        <v>2487652.1711999993</v>
      </c>
      <c r="BK137" s="123">
        <v>20</v>
      </c>
      <c r="BL137" s="127">
        <f>(BK137/12*2*$E137*$G137*$H137*$N137*$BL$11)+(BK137/12*10*$F137*$G137*$H137*$N137*$BL$11)</f>
        <v>3316869.5615999997</v>
      </c>
      <c r="BM137" s="123"/>
      <c r="BN137" s="123">
        <f>(BM137/12*2*$E137*$G137*$H137*$M137*$BN$11)+(BM137/12*10*$F137*$G137*$H137*$M137*$BN$11)</f>
        <v>0</v>
      </c>
      <c r="BO137" s="123"/>
      <c r="BP137" s="123">
        <f>(BO137/12*2*$E137*$G137*$H137*$M137*$BP$11)+(BO137/12*10*$F137*$G137*$H137*$M137*$BP$12)</f>
        <v>0</v>
      </c>
      <c r="BQ137" s="123"/>
      <c r="BR137" s="123">
        <f>(BQ137/12*2*$E137*$G137*$H137*$M137*$BR$11)+(BQ137/12*10*$F137*$G137*$H137*$M137*$BR$11)</f>
        <v>0</v>
      </c>
      <c r="BS137" s="123">
        <v>10</v>
      </c>
      <c r="BT137" s="123">
        <f>(BS137/12*2*$E137*$G137*$H137*$N137*$BT$11)+(BS137/12*10*$F137*$G137*$H137*$N137*$BT$11)</f>
        <v>1382028.9839999999</v>
      </c>
      <c r="BU137" s="123"/>
      <c r="BV137" s="126">
        <f>(BU137/12*2*$E137*$G137*$H137*$M137*$BV$11)+(BU137/12*10*$F137*$G137*$H137*$M137*$BV$11)</f>
        <v>0</v>
      </c>
      <c r="BW137" s="123"/>
      <c r="BX137" s="123">
        <f>(BW137/12*2*$E137*$G137*$H137*$M137*$BX$11)+(BW137/12*10*$F137*$G137*$H137*$M137*$BX$11)</f>
        <v>0</v>
      </c>
      <c r="BY137" s="123">
        <v>3</v>
      </c>
      <c r="BZ137" s="123">
        <f>(BY137/12*2*$E137*$G137*$H137*$M137*$BZ$11)+(BY137/12*10*$F137*$G137*$H137*$M137*$BZ$11)</f>
        <v>345507.24599999998</v>
      </c>
      <c r="CA137" s="123">
        <v>8</v>
      </c>
      <c r="CB137" s="123">
        <f>(CA137/12*2*$E137*$G137*$H137*$M137*$CB$11)+(CA137/12*10*$F137*$G137*$H137*$M137*$CB$11)</f>
        <v>1105623.1871999996</v>
      </c>
      <c r="CC137" s="123">
        <v>3</v>
      </c>
      <c r="CD137" s="123">
        <f>(CC137/12*2*$E137*$G137*$H137*$M137*$CD$11)+(CC137/12*10*$F137*$G137*$H137*$M137*$CD$11)</f>
        <v>345507.24599999998</v>
      </c>
      <c r="CE137" s="123"/>
      <c r="CF137" s="123">
        <f>(CE137/12*10*$F137*$G137*$H137*$N137*$CF$11)</f>
        <v>0</v>
      </c>
      <c r="CG137" s="132"/>
      <c r="CH137" s="123">
        <f>(CG137/12*2*$E137*$G137*$H137*$N137*$CH$11)+(CG137/12*10*$F137*$G137*$H137*$N137*$CH$11)</f>
        <v>0</v>
      </c>
      <c r="CI137" s="123"/>
      <c r="CJ137" s="127">
        <f t="shared" si="198"/>
        <v>0</v>
      </c>
      <c r="CK137" s="123">
        <v>15</v>
      </c>
      <c r="CL137" s="123">
        <f>(CK137/12*2*$E137*$G137*$H137*$N137*$CL$11)+(CK137/12*10*$F137*$G137*$H137*$N137*$CL$12)</f>
        <v>1832571.1907999997</v>
      </c>
      <c r="CM137" s="130"/>
      <c r="CN137" s="123">
        <f>(CM137/12*2*$E137*$G137*$H137*$N137*$CN$11)+(CM137/12*10*$F137*$G137*$H137*$N137*$CN$11)</f>
        <v>0</v>
      </c>
      <c r="CO137" s="123">
        <v>4</v>
      </c>
      <c r="CP137" s="123">
        <v>132671.76</v>
      </c>
      <c r="CQ137" s="123">
        <v>2</v>
      </c>
      <c r="CR137" s="123">
        <f>(CQ137/12*2*$E137*$G137*$H137*$O137*$CR$11)+(CQ137/12*10*$F137*$G137*$H137*$O137*$CR$11)</f>
        <v>366895.78979999991</v>
      </c>
      <c r="CS137" s="123"/>
      <c r="CT137" s="133">
        <f>(CS137/12*2*$E137*$G137*$H137*$P137*$CT$11)+(CS137/12*10*$F137*$G137*$H137*$P137*$CT$11)</f>
        <v>0</v>
      </c>
      <c r="CU137" s="127"/>
      <c r="CV137" s="123">
        <f t="shared" si="199"/>
        <v>0</v>
      </c>
      <c r="CW137" s="126">
        <f t="shared" si="195"/>
        <v>608</v>
      </c>
      <c r="CX137" s="126">
        <f t="shared" si="195"/>
        <v>91522151.899279997</v>
      </c>
    </row>
    <row r="138" spans="1:102" s="6" customFormat="1" ht="18.75" x14ac:dyDescent="0.25">
      <c r="A138" s="91"/>
      <c r="B138" s="116">
        <v>110</v>
      </c>
      <c r="C138" s="117" t="s">
        <v>365</v>
      </c>
      <c r="D138" s="161" t="s">
        <v>366</v>
      </c>
      <c r="E138" s="95">
        <v>28004</v>
      </c>
      <c r="F138" s="96">
        <v>29405</v>
      </c>
      <c r="G138" s="119">
        <v>2.52</v>
      </c>
      <c r="H138" s="110">
        <v>0.9</v>
      </c>
      <c r="I138" s="110">
        <v>0.8</v>
      </c>
      <c r="J138" s="108"/>
      <c r="K138" s="108"/>
      <c r="L138" s="63"/>
      <c r="M138" s="120">
        <v>1.4</v>
      </c>
      <c r="N138" s="120">
        <v>1.68</v>
      </c>
      <c r="O138" s="120">
        <v>2.23</v>
      </c>
      <c r="P138" s="121">
        <v>2.57</v>
      </c>
      <c r="Q138" s="204">
        <v>226</v>
      </c>
      <c r="R138" s="123">
        <f>(Q138/12*2*$E138*$G138*$H138*$M138*$R$11)+(Q138/12*10*$F138*$G138*$I138*$M138*$R$11)</f>
        <v>20877496.812479999</v>
      </c>
      <c r="S138" s="124">
        <v>1728</v>
      </c>
      <c r="T138" s="125">
        <f>(S138/12*2*$E138*$G138*$H138*$M138*$R$11)+(S138/12*10*$F138*$G138*$I138*$M138*$R$11)</f>
        <v>159629710.14144</v>
      </c>
      <c r="U138" s="123">
        <v>2</v>
      </c>
      <c r="V138" s="123">
        <f>(U138/12*2*$E138*$G138*$H138*$M138*$V$11)+(U138/12*10*$F138*$G138*$I138*$M138*$V$12)</f>
        <v>225462.29663999996</v>
      </c>
      <c r="W138" s="123"/>
      <c r="X138" s="126">
        <f>(W138/12*2*$E138*$G138*$H138*$M138*$X$11)+(W138/12*10*$F138*$G138*$I138*$M138*$X$12)</f>
        <v>0</v>
      </c>
      <c r="Y138" s="123"/>
      <c r="Z138" s="123">
        <f>(Y138/12*2*$E138*$G138*$H138*$M138*$Z$11)+(Y138/12*10*$F138*$G138*$I138*$M138*$Z$12)</f>
        <v>0</v>
      </c>
      <c r="AA138" s="123"/>
      <c r="AB138" s="123">
        <f>(AA138/12*2*$E138*$G138*$H138*$M138*$AB$11)+(AA138/12*10*$F138*$G138*$I138*$M138*$AB$11)</f>
        <v>0</v>
      </c>
      <c r="AC138" s="123"/>
      <c r="AD138" s="123"/>
      <c r="AE138" s="123">
        <v>3</v>
      </c>
      <c r="AF138" s="127">
        <f>(AE138/12*2*$E138*$G138*$H138*$M138*$AF$11)+(AE138/12*10*$F138*$G138*$I138*$M138*$AF$11)</f>
        <v>277134.91344000003</v>
      </c>
      <c r="AG138" s="123">
        <v>20</v>
      </c>
      <c r="AH138" s="126">
        <f>(AG138/12*2*$E138*$G138*$H138*$M138*$AH$11)+(AG138/12*10*$F138*$G138*$I138*$M138*$AH$11)</f>
        <v>1847566.0896000001</v>
      </c>
      <c r="AI138" s="130">
        <v>9</v>
      </c>
      <c r="AJ138" s="123">
        <f>(AI138/12*2*$E138*$G138*$H138*$M138*$AJ$11)+(AI138/12*5*$F138*$G138*$I138*$M138*$AJ$12)+(AI138/12*5*$F138*$G138*$I138*$M138*$AJ$13)</f>
        <v>976344.78816</v>
      </c>
      <c r="AK138" s="123">
        <v>1113</v>
      </c>
      <c r="AL138" s="123">
        <f>(AK138/12*2*$E138*$G138*$H138*$N138*$AL$11)+(AK138/12*5*$F138*$G138*$I138*$N138*$AL$12)+(AK138/12*5*$F138*$G138*$I138*$N138*$AL$13)</f>
        <v>144889566.56294399</v>
      </c>
      <c r="AM138" s="132"/>
      <c r="AN138" s="123">
        <f>(AM138/12*2*$E138*$G138*$H138*$N138*$AN$11)+(AM138/12*10*$F138*$G138*$I138*$N138*$AN$12)</f>
        <v>0</v>
      </c>
      <c r="AO138" s="130"/>
      <c r="AP138" s="127">
        <f>(AO138/12*2*$E138*$G138*$H138*$N138*$AP$11)+(AO138/12*10*$F138*$G138*$I138*$N138*$AP$11)</f>
        <v>0</v>
      </c>
      <c r="AQ138" s="127">
        <v>13</v>
      </c>
      <c r="AR138" s="127">
        <v>1134623.6499999999</v>
      </c>
      <c r="AS138" s="123"/>
      <c r="AT138" s="123"/>
      <c r="AU138" s="123"/>
      <c r="AV138" s="126"/>
      <c r="AW138" s="123"/>
      <c r="AX138" s="123">
        <f>(AW138/12*2*$E138*$G138*$H138*$M138*$AX$11)+(AW138/12*10*$F138*$G138*$I138*$M138*$AX$12)</f>
        <v>0</v>
      </c>
      <c r="AY138" s="123">
        <v>594</v>
      </c>
      <c r="AZ138" s="123">
        <f>(AY138/12*2*$E138*$G138*$H138*$N138*$AZ$11)+(AY138/12*10*$F138*$G138*$I138*$N138*$AZ$11)</f>
        <v>65847255.433344007</v>
      </c>
      <c r="BA138" s="123"/>
      <c r="BB138" s="123">
        <f>(BA138/12*2*$E138*$G138*$H138*$N138*$BB$11)+(BA138/12*10*$F138*$G138*$I138*$N138*$BB$12)</f>
        <v>0</v>
      </c>
      <c r="BC138" s="123"/>
      <c r="BD138" s="126"/>
      <c r="BE138" s="123">
        <v>4</v>
      </c>
      <c r="BF138" s="123">
        <f>(BE138/12*10*$F138*$G138*$I138*$N138*$BF$12)</f>
        <v>331970.68799999997</v>
      </c>
      <c r="BG138" s="123">
        <v>18</v>
      </c>
      <c r="BH138" s="123">
        <f>(BG138/12*2*$E138*$G138*$H138*$N138*$BH$11)+(BG138/12*10*$F138*$G138*$I138*$N138*$BH$11)</f>
        <v>1632576.5809920002</v>
      </c>
      <c r="BI138" s="123">
        <v>140</v>
      </c>
      <c r="BJ138" s="126">
        <f>(BI138/12*2*$E138*$G138*$H138*$N138*$BJ$11)+(BI138/12*10*$F138*$G138*$I138*$N138*$BJ$11)</f>
        <v>16930423.80288</v>
      </c>
      <c r="BK138" s="123">
        <v>60</v>
      </c>
      <c r="BL138" s="127">
        <f>(BK138/12*2*$E138*$G138*$H138*$N138*$BL$11)+(BK138/12*10*$F138*$G138*$I138*$N138*$BL$11)</f>
        <v>7255895.9155199984</v>
      </c>
      <c r="BM138" s="123"/>
      <c r="BN138" s="123">
        <f>(BM138/12*2*$E138*$G138*$H138*$M138*$BN$11)+(BM138/12*10*$F138*$G138*$I138*$M138*$BN$11)</f>
        <v>0</v>
      </c>
      <c r="BO138" s="123"/>
      <c r="BP138" s="123">
        <f>(BO138/12*2*$E138*$G138*$H138*$M138*$BP$11)+(BO138/12*10*$F138*$G138*$I138*$M138*$BP$12)</f>
        <v>0</v>
      </c>
      <c r="BQ138" s="123"/>
      <c r="BR138" s="123">
        <f>(BQ138/12*2*$E138*$G138*$H138*$M138*$BR$11)+(BQ138/12*10*$F138*$G138*$I138*$M138*$BR$11)</f>
        <v>0</v>
      </c>
      <c r="BS138" s="123">
        <v>0</v>
      </c>
      <c r="BT138" s="123">
        <f>(BS138/12*2*$E138*$G138*$H138*$N138*$BT$11)+(BS138/12*10*$F138*$G138*$I138*$N138*$BT$11)</f>
        <v>0</v>
      </c>
      <c r="BU138" s="123"/>
      <c r="BV138" s="126">
        <f>(BU138/12*2*$E138*$G138*$H138*$M138*$BV$11)+(BU138/12*10*$F138*$G138*$I138*$M138*$BV$11)</f>
        <v>0</v>
      </c>
      <c r="BW138" s="123"/>
      <c r="BX138" s="123">
        <f>(BW138/12*2*$E138*$G138*$H138*$M138*$BX$11)+(BW138/12*10*$F138*$G138*$I138*$M138*$BX$11)</f>
        <v>0</v>
      </c>
      <c r="BY138" s="123">
        <v>14</v>
      </c>
      <c r="BZ138" s="123">
        <f>(BY138/12*2*$E138*$G138*$H138*$M138*$BZ$11)+(BY138/12*10*$F138*$G138*$I138*$M138*$BZ$11)</f>
        <v>1175723.8752000001</v>
      </c>
      <c r="CA138" s="123">
        <v>280</v>
      </c>
      <c r="CB138" s="123">
        <f>(CA138/12*2*$E138*$G138*$H138*$M138*$CB$11)+(CA138/12*10*$F138*$G138*$I138*$M138*$CB$11)</f>
        <v>28217373.004799996</v>
      </c>
      <c r="CC138" s="123">
        <v>21</v>
      </c>
      <c r="CD138" s="123">
        <f>(CC138/12*2*$E138*$G138*$H138*$M138*$CD$11)+(CC138/12*10*$F138*$G138*$I138*$M138*$CD$11)</f>
        <v>1763585.8128</v>
      </c>
      <c r="CE138" s="123"/>
      <c r="CF138" s="123">
        <f>(CE138/12*10*$F138*$G138*$I138*$N138*$CF$11)</f>
        <v>0</v>
      </c>
      <c r="CG138" s="132"/>
      <c r="CH138" s="123">
        <f>(CG138/12*2*$E138*$G138*$H138*$N138*$CH$11)+(CG138/12*10*$F138*$G138*$I138*$N138*$CH$11)</f>
        <v>0</v>
      </c>
      <c r="CI138" s="123"/>
      <c r="CJ138" s="127"/>
      <c r="CK138" s="123">
        <v>108</v>
      </c>
      <c r="CL138" s="123">
        <f>(CK138/12*2*$E138*$G138*$H138*$N138*$CL$11)+(CK138/12*10*$F138*$G138*$I138*$N138*$CL$12)</f>
        <v>9603395.9562240001</v>
      </c>
      <c r="CM138" s="130"/>
      <c r="CN138" s="123">
        <f>(CM138/12*2*$E138*$G138*$H138*$N138*$CN$11)+(CM138/12*10*$F138*$G138*$I138*$N138*$CN$11)</f>
        <v>0</v>
      </c>
      <c r="CO138" s="123">
        <v>43</v>
      </c>
      <c r="CP138" s="123">
        <v>1042131.9799999997</v>
      </c>
      <c r="CQ138" s="123"/>
      <c r="CR138" s="123">
        <f>(CQ138/12*2*$E138*$G138*$H138*$O138*$CR$11)+(CQ138/12*10*$F138*$G138*$I138*$O138*$CR$11)</f>
        <v>0</v>
      </c>
      <c r="CS138" s="123"/>
      <c r="CT138" s="133">
        <f>(CS138/12*2*$E138*$G138*$H138*$P138*$CT$11)+(CS138/12*10*$F138*$G138*$I138*$P138*$CT$11)</f>
        <v>0</v>
      </c>
      <c r="CU138" s="127"/>
      <c r="CV138" s="123"/>
      <c r="CW138" s="126">
        <f t="shared" si="195"/>
        <v>4396</v>
      </c>
      <c r="CX138" s="126">
        <f t="shared" si="195"/>
        <v>463658238.30446398</v>
      </c>
    </row>
    <row r="139" spans="1:102" s="6" customFormat="1" ht="16.5" customHeight="1" x14ac:dyDescent="0.25">
      <c r="A139" s="277" t="s">
        <v>306</v>
      </c>
      <c r="B139" s="116">
        <v>111</v>
      </c>
      <c r="C139" s="117" t="s">
        <v>367</v>
      </c>
      <c r="D139" s="161" t="s">
        <v>368</v>
      </c>
      <c r="E139" s="95">
        <v>28004</v>
      </c>
      <c r="F139" s="96">
        <v>29405</v>
      </c>
      <c r="G139" s="119">
        <v>3.12</v>
      </c>
      <c r="H139" s="107">
        <v>1</v>
      </c>
      <c r="I139" s="108"/>
      <c r="J139" s="108"/>
      <c r="K139" s="108"/>
      <c r="L139" s="63"/>
      <c r="M139" s="120">
        <v>1.4</v>
      </c>
      <c r="N139" s="120">
        <v>1.68</v>
      </c>
      <c r="O139" s="120">
        <v>2.23</v>
      </c>
      <c r="P139" s="121">
        <v>2.57</v>
      </c>
      <c r="Q139" s="122">
        <v>3</v>
      </c>
      <c r="R139" s="123">
        <f>(Q139/12*2*$E139*$G139*$H139*$M139*$R$11)+(Q139/12*10*$F139*$G139*$H139*$M139*$R$11)</f>
        <v>420489.66959999996</v>
      </c>
      <c r="S139" s="124">
        <v>140</v>
      </c>
      <c r="T139" s="125">
        <f>(S139/12*2*$E139*$G139*$H139*$M139*$R$11)+(S139/12*10*$F139*$G139*$H139*$M139*$R$11)</f>
        <v>19622851.248</v>
      </c>
      <c r="U139" s="123"/>
      <c r="V139" s="123">
        <f>(U139/12*2*$E139*$G139*$H139*$M139*$V$11)+(U139/12*10*$F139*$G139*$H139*$M139*$V$12)</f>
        <v>0</v>
      </c>
      <c r="W139" s="123"/>
      <c r="X139" s="126">
        <f>(W139/12*2*$E139*$G139*$H139*$M139*$X$11)+(W139/12*10*$F139*$G139*$H139*$M139*$X$12)</f>
        <v>0</v>
      </c>
      <c r="Y139" s="123"/>
      <c r="Z139" s="123">
        <f>(Y139/12*2*$E139*$G139*$H139*$M139*$Z$11)+(Y139/12*10*$F139*$G139*$H139*$M139*$Z$12)</f>
        <v>0</v>
      </c>
      <c r="AA139" s="123"/>
      <c r="AB139" s="123">
        <f>(AA139/12*2*$E139*$G139*$H139*$M139*$AB$11)+(AA139/12*10*$F139*$G139*$H139*$M139*$AB$11)</f>
        <v>0</v>
      </c>
      <c r="AC139" s="123"/>
      <c r="AD139" s="123"/>
      <c r="AE139" s="123"/>
      <c r="AF139" s="123">
        <f>(AE139/12*2*$E139*$G139*$H139*$M139*$AF$11)+(AE139/12*10*$F139*$G139*$H139*$M139*$AF$11)</f>
        <v>0</v>
      </c>
      <c r="AG139" s="135">
        <v>0</v>
      </c>
      <c r="AH139" s="136">
        <f>(AG139/12*2*$E139*$G139*$H139*$M139*$AH$11)+(AG139/12*10*$F139*$G139*$H139*$M139*$AH$11)</f>
        <v>0</v>
      </c>
      <c r="AI139" s="123"/>
      <c r="AJ139" s="123">
        <f t="shared" ref="AJ139:AJ140" si="201">(AI139/12*2*$E139*$G139*$H139*$M139*$AJ$11)+(AI139/12*5*$F139*$G139*$H139*$M139*$AJ$12)+(AI139/12*5*$F139*$G139*$H139*$M139*$AJ$13)</f>
        <v>0</v>
      </c>
      <c r="AK139" s="123">
        <v>11</v>
      </c>
      <c r="AL139" s="123">
        <f>(AK139/12*2*$E139*$G139*$H139*$N139*$AL$11)+(AK139/12*5*$F139*$G139*$H139*$N139*$AL$12)+(AK139/12*5*$F139*$G139*$H139*$N139*$AL$13)</f>
        <v>2172417.7675200002</v>
      </c>
      <c r="AM139" s="132"/>
      <c r="AN139" s="123">
        <f>(AM139/12*2*$E139*$G139*$H139*$N139*$AN$11)+(AM139/12*10*$F139*$G139*$H139*$N139*$AN$12)</f>
        <v>0</v>
      </c>
      <c r="AO139" s="130"/>
      <c r="AP139" s="127">
        <f>(AO139/12*2*$E139*$G139*$H139*$N139*$AP$11)+(AO139/12*10*$F139*$G139*$H139*$N139*$AP$11)</f>
        <v>0</v>
      </c>
      <c r="AQ139" s="127">
        <v>0</v>
      </c>
      <c r="AR139" s="127">
        <v>0</v>
      </c>
      <c r="AS139" s="123"/>
      <c r="AT139" s="123">
        <f>(AS139/12*2*$E139*$G139*$H139*$M139*$AT$11)+(AS139/12*10*$F139*$G139*$H139*$M139*$AT$11)</f>
        <v>0</v>
      </c>
      <c r="AU139" s="123"/>
      <c r="AV139" s="126">
        <f>(AU139/12*2*$E139*$G139*$H139*$M139*$AV$11)+(AU139/12*10*$F139*$G139*$H139*$M139*$AV$12)</f>
        <v>0</v>
      </c>
      <c r="AW139" s="123"/>
      <c r="AX139" s="123">
        <f>(AW139/12*2*$E139*$G139*$H139*$M139*$AX$11)+(AW139/12*10*$F139*$G139*$H139*$M139*$AX$12)</f>
        <v>0</v>
      </c>
      <c r="AY139" s="123">
        <v>54</v>
      </c>
      <c r="AZ139" s="123">
        <f>(AY139/12*2*$E139*$G139*$H139*$N139*$AZ$11)+(AY139/12*10*$F139*$G139*$H139*$N139*$AZ$11)</f>
        <v>9082576.8633600008</v>
      </c>
      <c r="BA139" s="123"/>
      <c r="BB139" s="123">
        <f>(BA139/12*2*$E139*$G139*$H139*$N139*$BB$11)+(BA139/12*10*$F139*$G139*$H139*$N139*$BB$12)</f>
        <v>0</v>
      </c>
      <c r="BC139" s="123"/>
      <c r="BD139" s="126">
        <f>(BC139/12*2*$E139*$G139*$H139*$N139*$BD$11)+(BC139/12*10*$F139*$G139*$H139*$N139*$BD$12)</f>
        <v>0</v>
      </c>
      <c r="BE139" s="123"/>
      <c r="BF139" s="123">
        <f>(BE139/12*10*$F139*$G139*$H139*$N139*$BF$12)</f>
        <v>0</v>
      </c>
      <c r="BG139" s="123"/>
      <c r="BH139" s="123">
        <f>(BG139/12*2*$E139*$G139*$H139*$N139*$BH$11)+(BG139/12*10*$F139*$G139*$H139*$N139*$BH$11)</f>
        <v>0</v>
      </c>
      <c r="BI139" s="123"/>
      <c r="BJ139" s="126">
        <f>(BI139/12*2*$E139*$G139*$H139*$N139*$BJ$11)+(BI139/12*10*$F139*$G139*$H139*$N139*$BJ$11)</f>
        <v>0</v>
      </c>
      <c r="BK139" s="123">
        <v>5</v>
      </c>
      <c r="BL139" s="127">
        <f>(BK139/12*2*$E139*$G139*$H139*$N139*$BL$11)+(BK139/12*10*$F139*$G139*$H139*$N139*$BL$11)</f>
        <v>917432.00640000007</v>
      </c>
      <c r="BM139" s="123"/>
      <c r="BN139" s="123">
        <f>(BM139/12*2*$E139*$G139*$H139*$M139*$BN$11)+(BM139/12*10*$F139*$G139*$H139*$M139*$BN$11)</f>
        <v>0</v>
      </c>
      <c r="BO139" s="123"/>
      <c r="BP139" s="123">
        <f>(BO139/12*2*$E139*$G139*$H139*$M139*$BP$11)+(BO139/12*10*$F139*$G139*$H139*$M139*$BP$12)</f>
        <v>0</v>
      </c>
      <c r="BQ139" s="123"/>
      <c r="BR139" s="123">
        <f>(BQ139/12*2*$E139*$G139*$H139*$M139*$BR$11)+(BQ139/12*10*$F139*$G139*$H139*$M139*$BR$11)</f>
        <v>0</v>
      </c>
      <c r="BS139" s="123">
        <v>0</v>
      </c>
      <c r="BT139" s="123">
        <f>(BS139/12*2*$E139*$G139*$H139*$N139*$BT$11)+(BS139/12*10*$F139*$G139*$H139*$N139*$BT$11)</f>
        <v>0</v>
      </c>
      <c r="BU139" s="123"/>
      <c r="BV139" s="126">
        <f>(BU139/12*2*$E139*$G139*$H139*$M139*$BV$11)+(BU139/12*10*$F139*$G139*$H139*$M139*$BV$11)</f>
        <v>0</v>
      </c>
      <c r="BW139" s="123"/>
      <c r="BX139" s="123">
        <f>(BW139/12*2*$E139*$G139*$H139*$M139*$BX$11)+(BW139/12*10*$F139*$G139*$H139*$M139*$BX$11)</f>
        <v>0</v>
      </c>
      <c r="BY139" s="123"/>
      <c r="BZ139" s="123">
        <f>(BY139/12*2*$E139*$G139*$H139*$M139*$BZ$11)+(BY139/12*10*$F139*$G139*$H139*$M139*$BZ$11)</f>
        <v>0</v>
      </c>
      <c r="CA139" s="123">
        <v>28</v>
      </c>
      <c r="CB139" s="123">
        <f>(CA139/12*2*$E139*$G139*$H139*$M139*$CB$11)+(CA139/12*10*$F139*$G139*$H139*$M139*$CB$11)</f>
        <v>4281349.3632000005</v>
      </c>
      <c r="CC139" s="123"/>
      <c r="CD139" s="123">
        <f>(CC139/12*2*$E139*$G139*$H139*$M139*$CD$11)+(CC139/12*10*$F139*$G139*$H139*$M139*$CD$11)</f>
        <v>0</v>
      </c>
      <c r="CE139" s="123"/>
      <c r="CF139" s="123">
        <f>(CE139/12*10*$F139*$G139*$H139*$N139*$CF$11)</f>
        <v>0</v>
      </c>
      <c r="CG139" s="132"/>
      <c r="CH139" s="123">
        <f>(CG139/12*2*$E139*$G139*$H139*$N139*$CH$11)+(CG139/12*10*$F139*$G139*$H139*$N139*$CH$11)</f>
        <v>0</v>
      </c>
      <c r="CI139" s="123"/>
      <c r="CJ139" s="127">
        <f t="shared" si="198"/>
        <v>0</v>
      </c>
      <c r="CK139" s="123">
        <v>2</v>
      </c>
      <c r="CL139" s="123">
        <f>(CK139/12*2*$E139*$G139*$H139*$N139*$CL$11)+(CK139/12*10*$F139*$G139*$H139*$N139*$CL$12)</f>
        <v>270336.74303999997</v>
      </c>
      <c r="CM139" s="130"/>
      <c r="CN139" s="123">
        <f>(CM139/12*2*$E139*$G139*$H139*$N139*$CN$11)+(CM139/12*10*$F139*$G139*$H139*$N139*$CN$11)</f>
        <v>0</v>
      </c>
      <c r="CO139" s="123">
        <v>0</v>
      </c>
      <c r="CP139" s="123">
        <v>0</v>
      </c>
      <c r="CQ139" s="123"/>
      <c r="CR139" s="123">
        <f>(CQ139/12*2*$E139*$G139*$H139*$O139*$CR$11)+(CQ139/12*10*$F139*$G139*$H139*$O139*$CR$11)</f>
        <v>0</v>
      </c>
      <c r="CS139" s="123"/>
      <c r="CT139" s="133">
        <f>(CS139/12*2*$E139*$G139*$H139*$P139*$CT$11)+(CS139/12*10*$F139*$G139*$H139*$P139*$CT$11)</f>
        <v>0</v>
      </c>
      <c r="CU139" s="127"/>
      <c r="CV139" s="123">
        <f t="shared" si="199"/>
        <v>0</v>
      </c>
      <c r="CW139" s="126">
        <f t="shared" si="195"/>
        <v>243</v>
      </c>
      <c r="CX139" s="126">
        <f t="shared" si="195"/>
        <v>36767453.661120005</v>
      </c>
    </row>
    <row r="140" spans="1:102" ht="16.5" customHeight="1" x14ac:dyDescent="0.25">
      <c r="A140" s="277" t="s">
        <v>306</v>
      </c>
      <c r="B140" s="116">
        <v>112</v>
      </c>
      <c r="C140" s="117" t="s">
        <v>369</v>
      </c>
      <c r="D140" s="161" t="s">
        <v>370</v>
      </c>
      <c r="E140" s="95">
        <v>28004</v>
      </c>
      <c r="F140" s="96">
        <v>29405</v>
      </c>
      <c r="G140" s="119">
        <v>4.51</v>
      </c>
      <c r="H140" s="107">
        <v>1</v>
      </c>
      <c r="I140" s="108"/>
      <c r="J140" s="108"/>
      <c r="K140" s="108"/>
      <c r="L140" s="63"/>
      <c r="M140" s="120">
        <v>1.4</v>
      </c>
      <c r="N140" s="120">
        <v>1.68</v>
      </c>
      <c r="O140" s="120">
        <v>2.23</v>
      </c>
      <c r="P140" s="121">
        <v>2.57</v>
      </c>
      <c r="Q140" s="122">
        <v>224</v>
      </c>
      <c r="R140" s="123">
        <f>(Q140/12*2*$E140*$G140*$H140*$M140*$R$11)+(Q140/12*10*$F140*$G140*$H140*$M140*$R$11)</f>
        <v>45384132.886400007</v>
      </c>
      <c r="S140" s="124">
        <v>252</v>
      </c>
      <c r="T140" s="125">
        <f>(S140/12*2*$E140*$G140*$H140*$M140*$R$11)+(S140/12*10*$F140*$G140*$H140*$M140*$R$11)</f>
        <v>51057149.497199997</v>
      </c>
      <c r="U140" s="123"/>
      <c r="V140" s="123">
        <f>(U140/12*2*$E140*$G140*$H140*$M140*$V$11)+(U140/12*10*$F140*$G140*$H140*$M140*$V$12)</f>
        <v>0</v>
      </c>
      <c r="W140" s="123"/>
      <c r="X140" s="126">
        <f>(W140/12*2*$E140*$G140*$H140*$M140*$X$11)+(W140/12*10*$F140*$G140*$H140*$M140*$X$12)</f>
        <v>0</v>
      </c>
      <c r="Y140" s="123"/>
      <c r="Z140" s="123">
        <f>(Y140/12*2*$E140*$G140*$H140*$M140*$Z$11)+(Y140/12*10*$F140*$G140*$H140*$M140*$Z$12)</f>
        <v>0</v>
      </c>
      <c r="AA140" s="123"/>
      <c r="AB140" s="123">
        <f>(AA140/12*2*$E140*$G140*$H140*$M140*$AB$11)+(AA140/12*10*$F140*$G140*$H140*$M140*$AB$11)</f>
        <v>0</v>
      </c>
      <c r="AC140" s="123"/>
      <c r="AD140" s="123"/>
      <c r="AE140" s="123"/>
      <c r="AF140" s="123">
        <f>(AE140/12*2*$E140*$G140*$H140*$M140*$AF$11)+(AE140/12*10*$F140*$G140*$H140*$M140*$AF$11)</f>
        <v>0</v>
      </c>
      <c r="AG140" s="123">
        <v>0</v>
      </c>
      <c r="AH140" s="126">
        <f>(AG140/12*2*$E140*$G140*$H140*$M140*$AH$11)+(AG140/12*10*$F140*$G140*$H140*$M140*$AH$11)</f>
        <v>0</v>
      </c>
      <c r="AI140" s="123"/>
      <c r="AJ140" s="123">
        <f t="shared" si="201"/>
        <v>0</v>
      </c>
      <c r="AK140" s="123">
        <v>19</v>
      </c>
      <c r="AL140" s="123">
        <f>(AK140/12*2*$E140*$G140*$H140*$N140*$AL$11)+(AK140/12*5*$F140*$G140*$H140*$N140*$AL$12)+(AK140/12*5*$F140*$G140*$H140*$N140*$AL$13)</f>
        <v>5424081.5413399991</v>
      </c>
      <c r="AM140" s="132"/>
      <c r="AN140" s="123">
        <f>(AM140/12*2*$E140*$G140*$H140*$N140*$AN$11)+(AM140/12*10*$F140*$G140*$H140*$N140*$AN$12)</f>
        <v>0</v>
      </c>
      <c r="AO140" s="130"/>
      <c r="AP140" s="127">
        <f>(AO140/12*2*$E140*$G140*$H140*$N140*$AP$11)+(AO140/12*10*$F140*$G140*$H140*$N140*$AP$11)</f>
        <v>0</v>
      </c>
      <c r="AQ140" s="127">
        <v>0</v>
      </c>
      <c r="AR140" s="127">
        <v>0</v>
      </c>
      <c r="AS140" s="123"/>
      <c r="AT140" s="123">
        <f>(AS140/12*2*$E140*$G140*$H140*$M140*$AT$11)+(AS140/12*10*$F140*$G140*$H140*$M140*$AT$11)</f>
        <v>0</v>
      </c>
      <c r="AU140" s="123"/>
      <c r="AV140" s="126">
        <f>(AU140/12*2*$E140*$G140*$H140*$M140*$AV$11)+(AU140/12*10*$F140*$G140*$H140*$M140*$AV$12)</f>
        <v>0</v>
      </c>
      <c r="AW140" s="123"/>
      <c r="AX140" s="123">
        <f>(AW140/12*2*$E140*$G140*$H140*$M140*$AX$11)+(AW140/12*10*$F140*$G140*$H140*$M140*$AX$12)</f>
        <v>0</v>
      </c>
      <c r="AY140" s="123">
        <v>155</v>
      </c>
      <c r="AZ140" s="123">
        <f>(AY140/12*2*$E140*$G140*$H140*$N140*$AZ$11)+(AY140/12*10*$F140*$G140*$H140*$N140*$AZ$11)</f>
        <v>37685038.9146</v>
      </c>
      <c r="BA140" s="123"/>
      <c r="BB140" s="123">
        <f>(BA140/12*2*$E140*$G140*$H140*$N140*$BB$11)+(BA140/12*10*$F140*$G140*$H140*$N140*$BB$12)</f>
        <v>0</v>
      </c>
      <c r="BC140" s="123"/>
      <c r="BD140" s="126">
        <f>(BC140/12*2*$E140*$G140*$H140*$N140*$BD$11)+(BC140/12*10*$F140*$G140*$H140*$N140*$BD$12)</f>
        <v>0</v>
      </c>
      <c r="BE140" s="123"/>
      <c r="BF140" s="123">
        <f>(BE140/12*10*$F140*$G140*$H140*$N140*$BF$12)</f>
        <v>0</v>
      </c>
      <c r="BG140" s="123"/>
      <c r="BH140" s="123">
        <f>(BG140/12*2*$E140*$G140*$H140*$N140*$BH$11)+(BG140/12*10*$F140*$G140*$H140*$N140*$BH$11)</f>
        <v>0</v>
      </c>
      <c r="BI140" s="123"/>
      <c r="BJ140" s="126">
        <f>(BI140/12*2*$E140*$G140*$H140*$N140*$BJ$11)+(BI140/12*10*$F140*$G140*$H140*$N140*$BJ$11)</f>
        <v>0</v>
      </c>
      <c r="BK140" s="123"/>
      <c r="BL140" s="127">
        <f>(BK140/12*2*$E140*$G140*$H140*$N140*$BL$11)+(BK140/12*10*$F140*$G140*$H140*$N140*$BL$11)</f>
        <v>0</v>
      </c>
      <c r="BM140" s="123"/>
      <c r="BN140" s="123">
        <f>(BM140/12*2*$E140*$G140*$H140*$M140*$BN$11)+(BM140/12*10*$F140*$G140*$H140*$M140*$BN$11)</f>
        <v>0</v>
      </c>
      <c r="BO140" s="123"/>
      <c r="BP140" s="123">
        <f>(BO140/12*2*$E140*$G140*$H140*$M140*$BP$11)+(BO140/12*10*$F140*$G140*$H140*$M140*$BP$12)</f>
        <v>0</v>
      </c>
      <c r="BQ140" s="123"/>
      <c r="BR140" s="123">
        <f>(BQ140/12*2*$E140*$G140*$H140*$M140*$BR$11)+(BQ140/12*10*$F140*$G140*$H140*$M140*$BR$11)</f>
        <v>0</v>
      </c>
      <c r="BS140" s="123">
        <v>0</v>
      </c>
      <c r="BT140" s="123">
        <f>(BS140/12*2*$E140*$G140*$H140*$N140*$BT$11)+(BS140/12*10*$F140*$G140*$H140*$N140*$BT$11)</f>
        <v>0</v>
      </c>
      <c r="BU140" s="123"/>
      <c r="BV140" s="126">
        <f>(BU140/12*2*$E140*$G140*$H140*$M140*$BV$11)+(BU140/12*10*$F140*$G140*$H140*$M140*$BV$11)</f>
        <v>0</v>
      </c>
      <c r="BW140" s="123"/>
      <c r="BX140" s="123">
        <f>(BW140/12*2*$E140*$G140*$H140*$M140*$BX$11)+(BW140/12*10*$F140*$G140*$H140*$M140*$BX$11)</f>
        <v>0</v>
      </c>
      <c r="BY140" s="123"/>
      <c r="BZ140" s="123">
        <f>(BY140/12*2*$E140*$G140*$H140*$M140*$BZ$11)+(BY140/12*10*$F140*$G140*$H140*$M140*$BZ$11)</f>
        <v>0</v>
      </c>
      <c r="CA140" s="123"/>
      <c r="CB140" s="123">
        <f>(CA140/12*2*$E140*$G140*$H140*$M140*$CB$11)+(CA140/12*10*$F140*$G140*$H140*$M140*$CB$11)</f>
        <v>0</v>
      </c>
      <c r="CC140" s="123"/>
      <c r="CD140" s="123">
        <f>(CC140/12*2*$E140*$G140*$H140*$M140*$CD$11)+(CC140/12*10*$F140*$G140*$H140*$M140*$CD$11)</f>
        <v>0</v>
      </c>
      <c r="CE140" s="123"/>
      <c r="CF140" s="123">
        <f>(CE140/12*10*$F140*$G140*$H140*$N140*$CF$11)</f>
        <v>0</v>
      </c>
      <c r="CG140" s="132"/>
      <c r="CH140" s="123">
        <f>(CG140/12*2*$E140*$G140*$H140*$N140*$CH$11)+(CG140/12*10*$F140*$G140*$H140*$N140*$CH$11)</f>
        <v>0</v>
      </c>
      <c r="CI140" s="123"/>
      <c r="CJ140" s="127">
        <f t="shared" si="198"/>
        <v>0</v>
      </c>
      <c r="CK140" s="123"/>
      <c r="CL140" s="123">
        <f>(CK140/12*2*$E140*$G140*$H140*$N140*$CL$11)+(CK140/12*10*$F140*$G140*$H140*$N140*$CL$12)</f>
        <v>0</v>
      </c>
      <c r="CM140" s="130"/>
      <c r="CN140" s="123">
        <f>(CM140/12*2*$E140*$G140*$H140*$N140*$CN$11)+(CM140/12*10*$F140*$G140*$H140*$N140*$CN$11)</f>
        <v>0</v>
      </c>
      <c r="CO140" s="123">
        <v>0</v>
      </c>
      <c r="CP140" s="123">
        <v>0</v>
      </c>
      <c r="CQ140" s="123"/>
      <c r="CR140" s="123">
        <f>(CQ140/12*2*$E140*$G140*$H140*$O140*$CR$11)+(CQ140/12*10*$F140*$G140*$H140*$O140*$CR$11)</f>
        <v>0</v>
      </c>
      <c r="CS140" s="123"/>
      <c r="CT140" s="133">
        <f>(CS140/12*2*$E140*$G140*$H140*$P140*$CT$11)+(CS140/12*10*$F140*$G140*$H140*$P140*$CT$11)</f>
        <v>0</v>
      </c>
      <c r="CU140" s="127"/>
      <c r="CV140" s="123">
        <f t="shared" si="199"/>
        <v>0</v>
      </c>
      <c r="CW140" s="126">
        <f t="shared" si="195"/>
        <v>650</v>
      </c>
      <c r="CX140" s="126">
        <f t="shared" si="195"/>
        <v>139550402.83954</v>
      </c>
    </row>
    <row r="141" spans="1:102" ht="18.75" x14ac:dyDescent="0.25">
      <c r="A141" s="91"/>
      <c r="B141" s="116">
        <v>113</v>
      </c>
      <c r="C141" s="117" t="s">
        <v>371</v>
      </c>
      <c r="D141" s="161" t="s">
        <v>372</v>
      </c>
      <c r="E141" s="95">
        <v>28004</v>
      </c>
      <c r="F141" s="96">
        <v>29405</v>
      </c>
      <c r="G141" s="119">
        <v>0.82</v>
      </c>
      <c r="H141" s="110">
        <v>0.9</v>
      </c>
      <c r="I141" s="110">
        <v>0.85</v>
      </c>
      <c r="J141" s="108"/>
      <c r="K141" s="108"/>
      <c r="L141" s="63"/>
      <c r="M141" s="120">
        <v>1.4</v>
      </c>
      <c r="N141" s="120">
        <v>1.68</v>
      </c>
      <c r="O141" s="120">
        <v>2.23</v>
      </c>
      <c r="P141" s="121">
        <v>2.57</v>
      </c>
      <c r="Q141" s="122">
        <v>100</v>
      </c>
      <c r="R141" s="123">
        <f>(Q141/12*2*$E141*$G141*$H141*$M141*$R$11)+(Q141/12*10*$F141*$G141*$I141*$M141*$R$11)</f>
        <v>3160680.0096666673</v>
      </c>
      <c r="S141" s="124">
        <v>249</v>
      </c>
      <c r="T141" s="125">
        <f>(S141/12*2*$E141*$G141*$H141*$M141*$R$11)+(S141/12*10*$F141*$G141*$I141*$M141*$R$11)</f>
        <v>7870093.2240700005</v>
      </c>
      <c r="U141" s="123">
        <v>4</v>
      </c>
      <c r="V141" s="123">
        <f>(U141/12*2*$E141*$G141*$H141*$M141*$V$11)+(U141/12*10*$F141*$G141*$I141*$M141*$V$12)</f>
        <v>154212.21951333329</v>
      </c>
      <c r="W141" s="123"/>
      <c r="X141" s="126">
        <f>(W141/12*2*$E141*$G141*$H141*$M141*$X$11)+(W141/12*10*$F141*$G141*$I141*$M141*$X$12)</f>
        <v>0</v>
      </c>
      <c r="Y141" s="123"/>
      <c r="Z141" s="123">
        <f>(Y141/12*2*$E141*$G141*$H141*$M141*$Z$11)+(Y141/12*10*$F141*$G141*$I141*$M141*$Z$12)</f>
        <v>0</v>
      </c>
      <c r="AA141" s="123"/>
      <c r="AB141" s="123">
        <f>(AA141/12*2*$E141*$G141*$H141*$M141*$AB$11)+(AA141/12*10*$F141*$G141*$I141*$M141*$AB$11)</f>
        <v>0</v>
      </c>
      <c r="AC141" s="123"/>
      <c r="AD141" s="123"/>
      <c r="AE141" s="123">
        <v>212</v>
      </c>
      <c r="AF141" s="127">
        <f>(AE141/12*2*$E141*$G141*$H141*$M141*$AF$11)+(AE141/12*10*$F141*$G141*$I141*$M141*$AF$11)</f>
        <v>6700641.6204933329</v>
      </c>
      <c r="AG141" s="123">
        <v>325</v>
      </c>
      <c r="AH141" s="126">
        <f>(AG141/12*2*$E141*$G141*$H141*$M141*$AH$11)+(AG141/12*10*$F141*$G141*$I141*$M141*$AH$11)</f>
        <v>10272210.031416666</v>
      </c>
      <c r="AI141" s="130">
        <v>34</v>
      </c>
      <c r="AJ141" s="123">
        <f>(AI141/12*2*$E141*$G141*$H141*$M141*$AJ$11)+(AI141/12*5*$F141*$G141*$I141*$M141*$AJ$12)+(AI141/12*5*$F141*$G141*$I141*$M141*$AJ$13)</f>
        <v>1261888.8984099999</v>
      </c>
      <c r="AK141" s="123">
        <v>90</v>
      </c>
      <c r="AL141" s="123">
        <f>(AK141/12*2*$E141*$G141*$H141*$N141*$AL$11)+(AK141/12*5*$F141*$G141*$I141*$N141*$AL$12)+(AK141/12*5*$F141*$G141*$I141*$N141*$AL$13)</f>
        <v>4008352.9714199994</v>
      </c>
      <c r="AM141" s="132"/>
      <c r="AN141" s="123">
        <f>(AM141/12*2*$E141*$G141*$H141*$N141*$AN$11)+(AM141/12*10*$F141*$G141*$I141*$N141*$AN$12)</f>
        <v>0</v>
      </c>
      <c r="AO141" s="130">
        <v>27</v>
      </c>
      <c r="AP141" s="127">
        <f>(AO141/12*2*$E141*$G141*$H141*$N141*$AP$11)+(AO141/12*10*$F141*$G141*$I141*$N141*$AP$11)</f>
        <v>1024060.323132</v>
      </c>
      <c r="AQ141" s="127">
        <v>103</v>
      </c>
      <c r="AR141" s="127">
        <v>3851162.6100000031</v>
      </c>
      <c r="AS141" s="123"/>
      <c r="AT141" s="123"/>
      <c r="AU141" s="123"/>
      <c r="AV141" s="126"/>
      <c r="AW141" s="123">
        <v>46</v>
      </c>
      <c r="AX141" s="123">
        <f>(AW141/12*2*$E141*$G141*$H141*$M141*$AX$11)+(AW141/12*10*$F141*$G141*$I141*$M141*$AX$12)</f>
        <v>1520091.8780599998</v>
      </c>
      <c r="AY141" s="123">
        <v>600</v>
      </c>
      <c r="AZ141" s="123">
        <f>(AY141/12*2*$E141*$G141*$H141*$N141*$AZ$11)+(AY141/12*10*$F141*$G141*$I141*$N141*$AZ$11)</f>
        <v>22756896.069600001</v>
      </c>
      <c r="BA141" s="123"/>
      <c r="BB141" s="123">
        <f>(BA141/12*2*$E141*$G141*$H141*$N141*$BB$11)+(BA141/12*10*$F141*$G141*$I141*$N141*$BB$12)</f>
        <v>0</v>
      </c>
      <c r="BC141" s="123"/>
      <c r="BD141" s="126"/>
      <c r="BE141" s="123">
        <v>35</v>
      </c>
      <c r="BF141" s="123">
        <f>(BE141/12*10*$F141*$G141*$I141*$N141*$BF$12)</f>
        <v>1004268.9649999999</v>
      </c>
      <c r="BG141" s="123">
        <v>680</v>
      </c>
      <c r="BH141" s="123">
        <f>(BG141/12*2*$E141*$G141*$H141*$N141*$BH$11)+(BG141/12*10*$F141*$G141*$I141*$N141*$BH$11)</f>
        <v>21101849.082719997</v>
      </c>
      <c r="BI141" s="123">
        <v>154</v>
      </c>
      <c r="BJ141" s="126">
        <f>(BI141/12*2*$E141*$G141*$H141*$N141*$BJ$11)+(BI141/12*10*$F141*$G141*$I141*$N141*$BJ$11)</f>
        <v>6371930.8994879993</v>
      </c>
      <c r="BK141" s="123">
        <v>403</v>
      </c>
      <c r="BL141" s="127">
        <f>(BK141/12*2*$E141*$G141*$H141*$N141*$BL$11)+(BK141/12*10*$F141*$G141*$I141*$N141*$BL$11)</f>
        <v>16674598.392815998</v>
      </c>
      <c r="BM141" s="123"/>
      <c r="BN141" s="123">
        <f>(BM141/12*2*$E141*$G141*$H141*$M141*$BN$11)+(BM141/12*10*$F141*$G141*$I141*$M141*$BN$11)</f>
        <v>0</v>
      </c>
      <c r="BO141" s="123"/>
      <c r="BP141" s="123">
        <f>(BO141/12*2*$E141*$G141*$H141*$M141*$BP$11)+(BO141/12*10*$F141*$G141*$I141*$M141*$BP$12)</f>
        <v>0</v>
      </c>
      <c r="BQ141" s="123"/>
      <c r="BR141" s="123">
        <f>(BQ141/12*2*$E141*$G141*$H141*$M141*$BR$11)+(BQ141/12*10*$F141*$G141*$I141*$M141*$BR$11)</f>
        <v>0</v>
      </c>
      <c r="BS141" s="123">
        <v>190</v>
      </c>
      <c r="BT141" s="123">
        <f>(BS141/12*2*$E141*$G141*$H141*$N141*$BT$11)+(BS141/12*10*$F141*$G141*$I141*$N141*$BT$11)</f>
        <v>6551227.6563999997</v>
      </c>
      <c r="BU141" s="123"/>
      <c r="BV141" s="126">
        <f>(BU141/12*2*$E141*$G141*$H141*$M141*$BV$11)+(BU141/12*10*$F141*$G141*$I141*$M141*$BV$11)</f>
        <v>0</v>
      </c>
      <c r="BW141" s="123">
        <v>965</v>
      </c>
      <c r="BX141" s="123">
        <f>(BW141/12*2*$E141*$G141*$H141*$M141*$BX$11)+(BW141/12*10*$F141*$G141*$I141*$M141*$BX$11)</f>
        <v>22182226.976933338</v>
      </c>
      <c r="BY141" s="123">
        <v>203</v>
      </c>
      <c r="BZ141" s="123">
        <f>(BY141/12*2*$E141*$G141*$H141*$M141*$BZ$11)+(BY141/12*10*$F141*$G141*$I141*$M141*$BZ$11)</f>
        <v>5832891.2905666661</v>
      </c>
      <c r="CA141" s="123">
        <v>463</v>
      </c>
      <c r="CB141" s="123">
        <f>(CA141/12*2*$E141*$G141*$H141*$M141*$CB$11)+(CA141/12*10*$F141*$G141*$I141*$M141*$CB$11)</f>
        <v>15964307.39428</v>
      </c>
      <c r="CC141" s="123">
        <v>258</v>
      </c>
      <c r="CD141" s="123">
        <f>(CC141/12*2*$E141*$G141*$H141*$M141*$CD$11)+(CC141/12*10*$F141*$G141*$I141*$M141*$CD$11)</f>
        <v>7413231.2953999992</v>
      </c>
      <c r="CE141" s="123">
        <v>100</v>
      </c>
      <c r="CF141" s="123">
        <f>(CE141/12*10*$F141*$G141*$I141*$N141*$CF$11)</f>
        <v>2869339.9</v>
      </c>
      <c r="CG141" s="132"/>
      <c r="CH141" s="123">
        <f>(CG141/12*2*$E141*$G141*$H141*$N141*$CH$11)+(CG141/12*10*$F141*$G141*$I141*$N141*$CH$11)</f>
        <v>0</v>
      </c>
      <c r="CI141" s="123"/>
      <c r="CJ141" s="127"/>
      <c r="CK141" s="123"/>
      <c r="CL141" s="123">
        <f>(CK141/12*2*$E141*$G141*$H141*$N141*$CL$11)+(CK141/12*10*$F141*$G141*$I141*$N141*$CL$12)</f>
        <v>0</v>
      </c>
      <c r="CM141" s="130"/>
      <c r="CN141" s="123">
        <f>(CM141/12*2*$E141*$G141*$H141*$N141*$CN$11)+(CM141/12*10*$F141*$G141*$I141*$N141*$CN$11)</f>
        <v>0</v>
      </c>
      <c r="CO141" s="123">
        <v>265</v>
      </c>
      <c r="CP141" s="123">
        <v>1795659.360000001</v>
      </c>
      <c r="CQ141" s="123">
        <v>5</v>
      </c>
      <c r="CR141" s="123">
        <f>(CQ141/12*2*$E141*$G141*$H141*$O141*$CR$11)+(CQ141/12*10*$F141*$G141*$I141*$O141*$CR$11)</f>
        <v>228841.44225833332</v>
      </c>
      <c r="CS141" s="123">
        <v>50</v>
      </c>
      <c r="CT141" s="133">
        <f>(CS141/12*2*$E141*$G141*$H141*$P141*$CT$11)+(CS141/12*10*$F141*$G141*$I141*$P141*$CT$11)</f>
        <v>2637320.6574166669</v>
      </c>
      <c r="CU141" s="127"/>
      <c r="CV141" s="123"/>
      <c r="CW141" s="126">
        <f t="shared" si="195"/>
        <v>5561</v>
      </c>
      <c r="CX141" s="126">
        <f t="shared" si="195"/>
        <v>173207983.16906098</v>
      </c>
    </row>
    <row r="142" spans="1:102" ht="15.75" customHeight="1" x14ac:dyDescent="0.25">
      <c r="A142" s="109">
        <v>16</v>
      </c>
      <c r="B142" s="150"/>
      <c r="C142" s="93" t="s">
        <v>373</v>
      </c>
      <c r="D142" s="205" t="s">
        <v>374</v>
      </c>
      <c r="E142" s="95">
        <v>28004</v>
      </c>
      <c r="F142" s="96">
        <v>29405</v>
      </c>
      <c r="G142" s="151">
        <v>1.2</v>
      </c>
      <c r="H142" s="166"/>
      <c r="I142" s="108"/>
      <c r="J142" s="108"/>
      <c r="K142" s="108"/>
      <c r="L142" s="111"/>
      <c r="M142" s="112">
        <v>1.4</v>
      </c>
      <c r="N142" s="112">
        <v>1.68</v>
      </c>
      <c r="O142" s="112">
        <v>2.23</v>
      </c>
      <c r="P142" s="113">
        <v>2.57</v>
      </c>
      <c r="Q142" s="103">
        <f>SUM(Q143:Q154)</f>
        <v>134</v>
      </c>
      <c r="R142" s="104">
        <f>SUM(R143:R154)</f>
        <v>7317875.5159299998</v>
      </c>
      <c r="S142" s="114">
        <f t="shared" ref="S142:CD142" si="202">SUM(S143:S154)</f>
        <v>1626</v>
      </c>
      <c r="T142" s="115">
        <f t="shared" si="202"/>
        <v>151064247.74998665</v>
      </c>
      <c r="U142" s="104">
        <f t="shared" si="202"/>
        <v>162</v>
      </c>
      <c r="V142" s="104">
        <f t="shared" si="202"/>
        <v>7734874.3842300009</v>
      </c>
      <c r="W142" s="104">
        <f t="shared" si="202"/>
        <v>0</v>
      </c>
      <c r="X142" s="104">
        <f t="shared" si="202"/>
        <v>0</v>
      </c>
      <c r="Y142" s="104">
        <f t="shared" si="202"/>
        <v>5</v>
      </c>
      <c r="Z142" s="104">
        <f t="shared" si="202"/>
        <v>251416.01835000003</v>
      </c>
      <c r="AA142" s="104">
        <f t="shared" si="202"/>
        <v>0</v>
      </c>
      <c r="AB142" s="104">
        <f t="shared" si="202"/>
        <v>0</v>
      </c>
      <c r="AC142" s="104">
        <f t="shared" si="202"/>
        <v>0</v>
      </c>
      <c r="AD142" s="104">
        <f t="shared" si="202"/>
        <v>0</v>
      </c>
      <c r="AE142" s="104">
        <f t="shared" si="202"/>
        <v>254</v>
      </c>
      <c r="AF142" s="105">
        <f t="shared" si="202"/>
        <v>6052246.6881333329</v>
      </c>
      <c r="AG142" s="104">
        <f t="shared" si="202"/>
        <v>100</v>
      </c>
      <c r="AH142" s="104">
        <f t="shared" si="202"/>
        <v>2382774.2866666671</v>
      </c>
      <c r="AI142" s="106">
        <f t="shared" si="202"/>
        <v>0</v>
      </c>
      <c r="AJ142" s="104">
        <f t="shared" si="202"/>
        <v>0</v>
      </c>
      <c r="AK142" s="104">
        <f t="shared" si="202"/>
        <v>894</v>
      </c>
      <c r="AL142" s="104">
        <f t="shared" si="202"/>
        <v>105174569.08207199</v>
      </c>
      <c r="AM142" s="104">
        <f t="shared" si="202"/>
        <v>0</v>
      </c>
      <c r="AN142" s="104">
        <f t="shared" si="202"/>
        <v>0</v>
      </c>
      <c r="AO142" s="106">
        <f t="shared" si="202"/>
        <v>1</v>
      </c>
      <c r="AP142" s="104">
        <f t="shared" si="202"/>
        <v>52830.753360000002</v>
      </c>
      <c r="AQ142" s="104">
        <v>125</v>
      </c>
      <c r="AR142" s="104">
        <v>3580597.2900000066</v>
      </c>
      <c r="AS142" s="104">
        <f t="shared" si="202"/>
        <v>0</v>
      </c>
      <c r="AT142" s="104">
        <f t="shared" si="202"/>
        <v>0</v>
      </c>
      <c r="AU142" s="104">
        <f t="shared" si="202"/>
        <v>0</v>
      </c>
      <c r="AV142" s="104">
        <f t="shared" si="202"/>
        <v>0</v>
      </c>
      <c r="AW142" s="104">
        <f t="shared" si="202"/>
        <v>45</v>
      </c>
      <c r="AX142" s="104">
        <f t="shared" si="202"/>
        <v>1127774.3838666668</v>
      </c>
      <c r="AY142" s="104">
        <f t="shared" si="202"/>
        <v>261</v>
      </c>
      <c r="AZ142" s="104">
        <f t="shared" si="202"/>
        <v>10183636.783655999</v>
      </c>
      <c r="BA142" s="104">
        <f t="shared" si="202"/>
        <v>21</v>
      </c>
      <c r="BB142" s="104">
        <f t="shared" si="202"/>
        <v>653921.87951999996</v>
      </c>
      <c r="BC142" s="104">
        <f t="shared" si="202"/>
        <v>0</v>
      </c>
      <c r="BD142" s="104">
        <f t="shared" si="202"/>
        <v>0</v>
      </c>
      <c r="BE142" s="104">
        <f t="shared" si="202"/>
        <v>116</v>
      </c>
      <c r="BF142" s="104">
        <f t="shared" si="202"/>
        <v>3625742.358</v>
      </c>
      <c r="BG142" s="104">
        <f t="shared" si="202"/>
        <v>677</v>
      </c>
      <c r="BH142" s="104">
        <f t="shared" si="202"/>
        <v>19397940.607919998</v>
      </c>
      <c r="BI142" s="104">
        <f t="shared" si="202"/>
        <v>84</v>
      </c>
      <c r="BJ142" s="104">
        <f t="shared" si="202"/>
        <v>2555900.7678400003</v>
      </c>
      <c r="BK142" s="104">
        <f t="shared" si="202"/>
        <v>140</v>
      </c>
      <c r="BL142" s="104">
        <f t="shared" si="202"/>
        <v>4331114.0994240008</v>
      </c>
      <c r="BM142" s="104">
        <f t="shared" si="202"/>
        <v>0</v>
      </c>
      <c r="BN142" s="104">
        <f t="shared" si="202"/>
        <v>0</v>
      </c>
      <c r="BO142" s="104">
        <f t="shared" si="202"/>
        <v>0</v>
      </c>
      <c r="BP142" s="104">
        <f t="shared" si="202"/>
        <v>0</v>
      </c>
      <c r="BQ142" s="104">
        <f t="shared" si="202"/>
        <v>0</v>
      </c>
      <c r="BR142" s="104">
        <f t="shared" si="202"/>
        <v>0</v>
      </c>
      <c r="BS142" s="104">
        <f t="shared" si="202"/>
        <v>210</v>
      </c>
      <c r="BT142" s="104">
        <f t="shared" si="202"/>
        <v>5845679.5790399993</v>
      </c>
      <c r="BU142" s="104">
        <f t="shared" si="202"/>
        <v>120</v>
      </c>
      <c r="BV142" s="104">
        <f t="shared" si="202"/>
        <v>2859329.1440000003</v>
      </c>
      <c r="BW142" s="104">
        <f t="shared" si="202"/>
        <v>200</v>
      </c>
      <c r="BX142" s="104">
        <f t="shared" si="202"/>
        <v>4765548.5733333342</v>
      </c>
      <c r="BY142" s="104">
        <f t="shared" si="202"/>
        <v>96</v>
      </c>
      <c r="BZ142" s="104">
        <f t="shared" si="202"/>
        <v>2017762.0120000001</v>
      </c>
      <c r="CA142" s="104">
        <f t="shared" si="202"/>
        <v>147</v>
      </c>
      <c r="CB142" s="104">
        <f t="shared" si="202"/>
        <v>3715145.9735599994</v>
      </c>
      <c r="CC142" s="104">
        <f t="shared" si="202"/>
        <v>160</v>
      </c>
      <c r="CD142" s="104">
        <f t="shared" si="202"/>
        <v>4023533.1331999996</v>
      </c>
      <c r="CE142" s="104">
        <f t="shared" ref="CE142:CX142" si="203">SUM(CE143:CE154)</f>
        <v>109</v>
      </c>
      <c r="CF142" s="104">
        <f t="shared" si="203"/>
        <v>4227603.898</v>
      </c>
      <c r="CG142" s="104">
        <f t="shared" si="203"/>
        <v>0</v>
      </c>
      <c r="CH142" s="104">
        <f t="shared" si="203"/>
        <v>0</v>
      </c>
      <c r="CI142" s="104">
        <f t="shared" si="203"/>
        <v>0</v>
      </c>
      <c r="CJ142" s="104">
        <f t="shared" si="203"/>
        <v>0</v>
      </c>
      <c r="CK142" s="104">
        <f t="shared" si="203"/>
        <v>0</v>
      </c>
      <c r="CL142" s="104">
        <f t="shared" si="203"/>
        <v>0</v>
      </c>
      <c r="CM142" s="104">
        <f t="shared" si="203"/>
        <v>31</v>
      </c>
      <c r="CN142" s="104">
        <f t="shared" si="203"/>
        <v>778511.51335999998</v>
      </c>
      <c r="CO142" s="104">
        <f t="shared" si="203"/>
        <v>226</v>
      </c>
      <c r="CP142" s="104">
        <f t="shared" si="203"/>
        <v>1963763.6199999987</v>
      </c>
      <c r="CQ142" s="104">
        <f t="shared" si="203"/>
        <v>89</v>
      </c>
      <c r="CR142" s="104">
        <f t="shared" si="203"/>
        <v>3342123.3104066672</v>
      </c>
      <c r="CS142" s="104">
        <f t="shared" si="203"/>
        <v>49</v>
      </c>
      <c r="CT142" s="104">
        <f t="shared" si="203"/>
        <v>2524012.9382833331</v>
      </c>
      <c r="CU142" s="104">
        <f t="shared" si="203"/>
        <v>0</v>
      </c>
      <c r="CV142" s="104">
        <f t="shared" si="203"/>
        <v>0</v>
      </c>
      <c r="CW142" s="104">
        <f t="shared" si="203"/>
        <v>6082</v>
      </c>
      <c r="CX142" s="104">
        <f t="shared" si="203"/>
        <v>361550476.3441388</v>
      </c>
    </row>
    <row r="143" spans="1:102" ht="30" customHeight="1" x14ac:dyDescent="0.25">
      <c r="A143" s="91"/>
      <c r="B143" s="116">
        <v>114</v>
      </c>
      <c r="C143" s="168" t="s">
        <v>375</v>
      </c>
      <c r="D143" s="161" t="s">
        <v>376</v>
      </c>
      <c r="E143" s="95">
        <v>28004</v>
      </c>
      <c r="F143" s="96">
        <v>29405</v>
      </c>
      <c r="G143" s="119">
        <v>0.98</v>
      </c>
      <c r="H143" s="107">
        <v>1</v>
      </c>
      <c r="I143" s="108"/>
      <c r="J143" s="108"/>
      <c r="K143" s="108"/>
      <c r="L143" s="63"/>
      <c r="M143" s="120">
        <v>1.4</v>
      </c>
      <c r="N143" s="120">
        <v>1.68</v>
      </c>
      <c r="O143" s="120">
        <v>2.23</v>
      </c>
      <c r="P143" s="121">
        <v>2.57</v>
      </c>
      <c r="Q143" s="122">
        <v>2</v>
      </c>
      <c r="R143" s="123">
        <f>(Q143/12*2*$E143*$G143*$H143*$M143*$R$11)+(Q143/12*10*$F143*$G143*$H143*$M143*$R$11)</f>
        <v>88051.255600000004</v>
      </c>
      <c r="S143" s="124">
        <v>1</v>
      </c>
      <c r="T143" s="125">
        <f>(S143/12*2*$E143*$G143*$H143*$M143*$R$11)+(S143/12*10*$F143*$G143*$H143*$M143*$R$11)</f>
        <v>44025.627800000002</v>
      </c>
      <c r="U143" s="123">
        <v>90</v>
      </c>
      <c r="V143" s="123">
        <f>(U143/12*2*$E143*$G143*$H143*$M143*$V$11)+(U143/12*10*$F143*$G143*$H143*$M143*$V$12)</f>
        <v>4831131.3330000006</v>
      </c>
      <c r="W143" s="123"/>
      <c r="X143" s="126">
        <f>(W143/12*2*$E143*$G143*$H143*$M143*$X$11)+(W143/12*10*$F143*$G143*$H143*$M143*$X$12)</f>
        <v>0</v>
      </c>
      <c r="Y143" s="123"/>
      <c r="Z143" s="123">
        <f>(Y143/12*2*$E143*$G143*$H143*$M143*$Z$11)+(Y143/12*10*$F143*$G143*$H143*$M143*$Z$12)</f>
        <v>0</v>
      </c>
      <c r="AA143" s="123"/>
      <c r="AB143" s="123">
        <f>(AA143/12*2*$E143*$G143*$H143*$M143*$AB$11)+(AA143/12*10*$F143*$G143*$H143*$M143*$AB$11)</f>
        <v>0</v>
      </c>
      <c r="AC143" s="123"/>
      <c r="AD143" s="123"/>
      <c r="AE143" s="123"/>
      <c r="AF143" s="123">
        <f>(AE143/12*2*$E143*$G143*$H143*$M143*$AF$11)+(AE143/12*10*$F143*$G143*$H143*$M143*$AF$11)</f>
        <v>0</v>
      </c>
      <c r="AG143" s="135">
        <v>0</v>
      </c>
      <c r="AH143" s="136">
        <f>(AG143/12*2*$E143*$G143*$H143*$M143*$AH$11)+(AG143/12*10*$F143*$G143*$H143*$M143*$AH$11)</f>
        <v>0</v>
      </c>
      <c r="AI143" s="123"/>
      <c r="AJ143" s="123">
        <f t="shared" ref="AJ143:AJ144" si="204">(AI143/12*2*$E143*$G143*$H143*$M143*$AJ$11)+(AI143/12*5*$F143*$G143*$H143*$M143*$AJ$12)+(AI143/12*5*$F143*$G143*$H143*$M143*$AJ$13)</f>
        <v>0</v>
      </c>
      <c r="AK143" s="123">
        <v>5</v>
      </c>
      <c r="AL143" s="123">
        <f>(AK143/12*2*$E143*$G143*$H143*$N143*$AL$11)+(AK143/12*5*$F143*$G143*$H143*$N143*$AL$12)+(AK143/12*5*$F143*$G143*$H143*$N143*$AL$13)</f>
        <v>310164.54139999999</v>
      </c>
      <c r="AM143" s="132"/>
      <c r="AN143" s="123">
        <f>(AM143/12*2*$E143*$G143*$H143*$N143*$AN$11)+(AM143/12*10*$F143*$G143*$H143*$N143*$AN$12)</f>
        <v>0</v>
      </c>
      <c r="AO143" s="130">
        <v>1</v>
      </c>
      <c r="AP143" s="127">
        <f>(AO143/12*2*$E143*$G143*$H143*$N143*$AP$11)+(AO143/12*10*$F143*$G143*$H143*$N143*$AP$11)</f>
        <v>52830.753360000002</v>
      </c>
      <c r="AQ143" s="127">
        <v>1</v>
      </c>
      <c r="AR143" s="127">
        <v>53253.63</v>
      </c>
      <c r="AS143" s="123"/>
      <c r="AT143" s="123">
        <f>(AS143/12*2*$E143*$G143*$H143*$M143*$AT$11)+(AS143/12*10*$F143*$G143*$H143*$M143*$AT$11)</f>
        <v>0</v>
      </c>
      <c r="AU143" s="123"/>
      <c r="AV143" s="126">
        <f>(AU143/12*2*$E143*$G143*$H143*$M143*$AV$11)+(AU143/12*10*$F143*$G143*$H143*$M143*$AV$12)</f>
        <v>0</v>
      </c>
      <c r="AW143" s="123"/>
      <c r="AX143" s="123">
        <f>(AW143/12*2*$E143*$G143*$H143*$M143*$AX$11)+(AW143/12*10*$F143*$G143*$H143*$M143*$AX$12)</f>
        <v>0</v>
      </c>
      <c r="AY143" s="131">
        <v>4</v>
      </c>
      <c r="AZ143" s="123">
        <f>(AY143/12*2*$E143*$G143*$H143*$N143*$AZ$11)+(AY143/12*10*$F143*$G143*$H143*$N143*$AZ$11)</f>
        <v>211323.01344000001</v>
      </c>
      <c r="BA143" s="123">
        <v>3</v>
      </c>
      <c r="BB143" s="123">
        <f>(BA143/12*2*$E143*$G143*$H143*$N143*$BB$11)+(BA143/12*10*$F143*$G143*$H143*$N143*$BB$12)</f>
        <v>139242.63359999997</v>
      </c>
      <c r="BC143" s="123"/>
      <c r="BD143" s="126">
        <f>(BC143/12*2*$E143*$G143*$H143*$N143*$BD$11)+(BC143/12*10*$F143*$G143*$H143*$N143*$BD$12)</f>
        <v>0</v>
      </c>
      <c r="BE143" s="123"/>
      <c r="BF143" s="123">
        <f>(BE143/12*10*$F143*$G143*$H143*$N143*$BF$12)</f>
        <v>0</v>
      </c>
      <c r="BG143" s="123"/>
      <c r="BH143" s="123">
        <f>(BG143/12*2*$E143*$G143*$H143*$N143*$BH$11)+(BG143/12*10*$F143*$G143*$H143*$N143*$BH$11)</f>
        <v>0</v>
      </c>
      <c r="BI143" s="123"/>
      <c r="BJ143" s="126">
        <f>(BI143/12*2*$E143*$G143*$H143*$N143*$BJ$11)+(BI143/12*10*$F143*$G143*$H143*$N143*$BJ$11)</f>
        <v>0</v>
      </c>
      <c r="BK143" s="123">
        <v>1</v>
      </c>
      <c r="BL143" s="127">
        <f>(BK143/12*2*$E143*$G143*$H143*$N143*$BL$11)+(BK143/12*10*$F143*$G143*$H143*$N143*$BL$11)</f>
        <v>57633.549119999996</v>
      </c>
      <c r="BM143" s="123"/>
      <c r="BN143" s="123">
        <f>(BM143/12*2*$E143*$G143*$H143*$M143*$BN$11)+(BM143/12*10*$F143*$G143*$H143*$M143*$BN$11)</f>
        <v>0</v>
      </c>
      <c r="BO143" s="123"/>
      <c r="BP143" s="123">
        <f>(BO143/12*2*$E143*$G143*$H143*$M143*$BP$11)+(BO143/12*10*$F143*$G143*$H143*$M143*$BP$12)</f>
        <v>0</v>
      </c>
      <c r="BQ143" s="123"/>
      <c r="BR143" s="123">
        <f>(BQ143/12*2*$E143*$G143*$H143*$M143*$BR$11)+(BQ143/12*10*$F143*$G143*$H143*$M143*$BR$11)</f>
        <v>0</v>
      </c>
      <c r="BS143" s="123">
        <v>2</v>
      </c>
      <c r="BT143" s="123">
        <f>(BS143/12*2*$E143*$G143*$H143*$N143*$BT$11)+(BS143/12*10*$F143*$G143*$H143*$N143*$BT$11)</f>
        <v>96055.915199999989</v>
      </c>
      <c r="BU143" s="123"/>
      <c r="BV143" s="126">
        <f>(BU143/12*2*$E143*$G143*$H143*$M143*$BV$11)+(BU143/12*10*$F143*$G143*$H143*$M143*$BV$11)</f>
        <v>0</v>
      </c>
      <c r="BW143" s="123"/>
      <c r="BX143" s="123">
        <f>(BW143/12*2*$E143*$G143*$H143*$M143*$BX$11)+(BW143/12*10*$F143*$G143*$H143*$M143*$BX$11)</f>
        <v>0</v>
      </c>
      <c r="BY143" s="123"/>
      <c r="BZ143" s="123">
        <f>(BY143/12*2*$E143*$G143*$H143*$M143*$BZ$11)+(BY143/12*10*$F143*$G143*$H143*$M143*$BZ$11)</f>
        <v>0</v>
      </c>
      <c r="CA143" s="123"/>
      <c r="CB143" s="123">
        <f>(CA143/12*2*$E143*$G143*$H143*$M143*$CB$11)+(CA143/12*10*$F143*$G143*$H143*$M143*$CB$11)</f>
        <v>0</v>
      </c>
      <c r="CC143" s="123"/>
      <c r="CD143" s="123">
        <f>(CC143/12*2*$E143*$G143*$H143*$M143*$CD$11)+(CC143/12*10*$F143*$G143*$H143*$M143*$CD$11)</f>
        <v>0</v>
      </c>
      <c r="CE143" s="123">
        <v>5</v>
      </c>
      <c r="CF143" s="123">
        <f>(CE143/12*10*$F143*$G143*$H143*$N143*$CF$11)</f>
        <v>201718.3</v>
      </c>
      <c r="CG143" s="132"/>
      <c r="CH143" s="123">
        <f>(CG143/12*2*$E143*$G143*$H143*$N143*$CH$11)+(CG143/12*10*$F143*$G143*$H143*$N143*$CH$11)</f>
        <v>0</v>
      </c>
      <c r="CI143" s="123"/>
      <c r="CJ143" s="127">
        <f>(CI143*$E143*$G143*$H143*$N143*CJ$11)</f>
        <v>0</v>
      </c>
      <c r="CK143" s="123"/>
      <c r="CL143" s="123">
        <f>(CK143/12*2*$E143*$G143*$H143*$N143*$CL$11)+(CK143/12*10*$F143*$G143*$H143*$N143*$CL$12)</f>
        <v>0</v>
      </c>
      <c r="CM143" s="130"/>
      <c r="CN143" s="123">
        <f>(CM143/12*2*$E143*$G143*$H143*$N143*$CN$11)+(CM143/12*10*$F143*$G143*$H143*$N143*$CN$11)</f>
        <v>0</v>
      </c>
      <c r="CO143" s="123"/>
      <c r="CP143" s="123">
        <f>(CO143/12*2*$E143*$G143*$H143*$N143*$CP$11)+(CO143/12*10*$F143*$G143*$H143*$N143*$CP$11)</f>
        <v>0</v>
      </c>
      <c r="CQ143" s="123"/>
      <c r="CR143" s="123">
        <f>(CQ143/12*2*$E143*$G143*$H143*$O143*$CR$11)+(CQ143/12*10*$F143*$G143*$H143*$O143*$CR$11)</f>
        <v>0</v>
      </c>
      <c r="CS143" s="123">
        <v>2</v>
      </c>
      <c r="CT143" s="133">
        <f>(CS143/12*2*$E143*$G143*$H143*$P143*$CT$11)+(CS143/12*10*$F143*$G143*$H143*$P143*$CT$11)</f>
        <v>146942.67979999998</v>
      </c>
      <c r="CU143" s="127"/>
      <c r="CV143" s="123">
        <f>(CU143*$E143*$G143*$H143*$M143*CV$11)/12*6+(CU143*$E143*$G143*$H143*1*CV$11)/12*6</f>
        <v>0</v>
      </c>
      <c r="CW143" s="126">
        <f t="shared" ref="CW143:CX153" si="205">SUM(Q143,S143,U143,W143,Y143,AA143,AC143,AE143,AG143,AM143,BQ143,AI143,AU143,CC143,AW143,AY143,AK143,BC143,AO143,AQ143,BE143,CE143,BG143,BI143,BK143,BS143,BM143,BO143,BU143,BW143,BY143,CA143,CG143,BA143,AS143,CI143,CK143,CM143,CO143,CQ143,CS143,CU143)</f>
        <v>117</v>
      </c>
      <c r="CX143" s="126">
        <f t="shared" si="205"/>
        <v>6232373.2323199995</v>
      </c>
    </row>
    <row r="144" spans="1:102" ht="30" customHeight="1" x14ac:dyDescent="0.25">
      <c r="A144" s="91"/>
      <c r="B144" s="116">
        <v>115</v>
      </c>
      <c r="C144" s="117" t="s">
        <v>377</v>
      </c>
      <c r="D144" s="161" t="s">
        <v>378</v>
      </c>
      <c r="E144" s="95">
        <v>28004</v>
      </c>
      <c r="F144" s="96">
        <v>29405</v>
      </c>
      <c r="G144" s="119">
        <v>1.49</v>
      </c>
      <c r="H144" s="107">
        <v>1</v>
      </c>
      <c r="I144" s="108"/>
      <c r="J144" s="108"/>
      <c r="K144" s="108"/>
      <c r="L144" s="63"/>
      <c r="M144" s="120">
        <v>1.4</v>
      </c>
      <c r="N144" s="120">
        <v>1.68</v>
      </c>
      <c r="O144" s="120">
        <v>2.23</v>
      </c>
      <c r="P144" s="121">
        <v>2.57</v>
      </c>
      <c r="Q144" s="122">
        <v>0</v>
      </c>
      <c r="R144" s="123">
        <f>(Q144/12*2*$E144*$G144*$H144*$M144*$R$11)+(Q144/12*10*$F144*$G144*$H144*$M144*$R$11)</f>
        <v>0</v>
      </c>
      <c r="S144" s="124">
        <v>6</v>
      </c>
      <c r="T144" s="125">
        <f>(S144/12*2*$E144*$G144*$H144*$M144*$R$11)+(S144/12*10*$F144*$G144*$H144*$M144*$R$11)</f>
        <v>401621.54340000002</v>
      </c>
      <c r="U144" s="123"/>
      <c r="V144" s="123">
        <f>(U144/12*2*$E144*$G144*$H144*$M144*$V$11)+(U144/12*10*$F144*$G144*$H144*$M144*$V$12)</f>
        <v>0</v>
      </c>
      <c r="W144" s="123"/>
      <c r="X144" s="126">
        <f>(W144/12*2*$E144*$G144*$H144*$M144*$X$11)+(W144/12*10*$F144*$G144*$H144*$M144*$X$12)</f>
        <v>0</v>
      </c>
      <c r="Y144" s="123"/>
      <c r="Z144" s="123">
        <f>(Y144/12*2*$E144*$G144*$H144*$M144*$Z$11)+(Y144/12*10*$F144*$G144*$H144*$M144*$Z$12)</f>
        <v>0</v>
      </c>
      <c r="AA144" s="123"/>
      <c r="AB144" s="123">
        <f>(AA144/12*2*$E144*$G144*$H144*$M144*$AB$11)+(AA144/12*10*$F144*$G144*$H144*$M144*$AB$11)</f>
        <v>0</v>
      </c>
      <c r="AC144" s="123"/>
      <c r="AD144" s="123"/>
      <c r="AE144" s="123"/>
      <c r="AF144" s="123">
        <f>(AE144/12*2*$E144*$G144*$H144*$M144*$AF$11)+(AE144/12*10*$F144*$G144*$H144*$M144*$AF$11)</f>
        <v>0</v>
      </c>
      <c r="AG144" s="123">
        <v>0</v>
      </c>
      <c r="AH144" s="126">
        <f>(AG144/12*2*$E144*$G144*$H144*$M144*$AH$11)+(AG144/12*10*$F144*$G144*$H144*$M144*$AH$11)</f>
        <v>0</v>
      </c>
      <c r="AI144" s="123"/>
      <c r="AJ144" s="123">
        <f t="shared" si="204"/>
        <v>0</v>
      </c>
      <c r="AK144" s="123">
        <v>5</v>
      </c>
      <c r="AL144" s="123">
        <f>(AK144/12*2*$E144*$G144*$H144*$N144*$AL$11)+(AK144/12*5*$F144*$G144*$H144*$N144*$AL$12)+(AK144/12*5*$F144*$G144*$H144*$N144*$AL$13)</f>
        <v>471576.70070000004</v>
      </c>
      <c r="AM144" s="132"/>
      <c r="AN144" s="123">
        <f>(AM144/12*2*$E144*$G144*$H144*$N144*$AN$11)+(AM144/12*10*$F144*$G144*$H144*$N144*$AN$12)</f>
        <v>0</v>
      </c>
      <c r="AO144" s="130"/>
      <c r="AP144" s="127">
        <f>(AO144/12*2*$E144*$G144*$H144*$N144*$AP$11)+(AO144/12*10*$F144*$G144*$H144*$N144*$AP$11)</f>
        <v>0</v>
      </c>
      <c r="AQ144" s="127">
        <v>0</v>
      </c>
      <c r="AR144" s="127">
        <v>0</v>
      </c>
      <c r="AS144" s="123"/>
      <c r="AT144" s="123">
        <f>(AS144/12*2*$E144*$G144*$H144*$M144*$AT$11)+(AS144/12*10*$F144*$G144*$H144*$M144*$AT$11)</f>
        <v>0</v>
      </c>
      <c r="AU144" s="123"/>
      <c r="AV144" s="126">
        <f>(AU144/12*2*$E144*$G144*$H144*$M144*$AV$11)+(AU144/12*10*$F144*$G144*$H144*$M144*$AV$12)</f>
        <v>0</v>
      </c>
      <c r="AW144" s="123"/>
      <c r="AX144" s="123">
        <f>(AW144/12*2*$E144*$G144*$H144*$M144*$AX$11)+(AW144/12*10*$F144*$G144*$H144*$M144*$AX$12)</f>
        <v>0</v>
      </c>
      <c r="AY144" s="123">
        <v>0</v>
      </c>
      <c r="AZ144" s="123">
        <f>(AY144/12*2*$E144*$G144*$H144*$N144*$AZ$11)+(AY144/12*10*$F144*$G144*$H144*$N144*$AZ$11)</f>
        <v>0</v>
      </c>
      <c r="BA144" s="123"/>
      <c r="BB144" s="123">
        <f>(BA144/12*2*$E144*$G144*$H144*$N144*$BB$11)+(BA144/12*10*$F144*$G144*$H144*$N144*$BB$12)</f>
        <v>0</v>
      </c>
      <c r="BC144" s="123"/>
      <c r="BD144" s="126">
        <f>(BC144/12*2*$E144*$G144*$H144*$N144*$BD$11)+(BC144/12*10*$F144*$G144*$H144*$N144*$BD$12)</f>
        <v>0</v>
      </c>
      <c r="BE144" s="123"/>
      <c r="BF144" s="123">
        <f>(BE144/12*10*$F144*$G144*$H144*$N144*$BF$12)</f>
        <v>0</v>
      </c>
      <c r="BG144" s="123"/>
      <c r="BH144" s="123">
        <f>(BG144/12*2*$E144*$G144*$H144*$N144*$BH$11)+(BG144/12*10*$F144*$G144*$H144*$N144*$BH$11)</f>
        <v>0</v>
      </c>
      <c r="BI144" s="123"/>
      <c r="BJ144" s="126">
        <f>(BI144/12*2*$E144*$G144*$H144*$N144*$BJ$11)+(BI144/12*10*$F144*$G144*$H144*$N144*$BJ$11)</f>
        <v>0</v>
      </c>
      <c r="BK144" s="123"/>
      <c r="BL144" s="127">
        <f>(BK144/12*2*$E144*$G144*$H144*$N144*$BL$11)+(BK144/12*10*$F144*$G144*$H144*$N144*$BL$11)</f>
        <v>0</v>
      </c>
      <c r="BM144" s="123"/>
      <c r="BN144" s="123">
        <f>(BM144/12*2*$E144*$G144*$H144*$M144*$BN$11)+(BM144/12*10*$F144*$G144*$H144*$M144*$BN$11)</f>
        <v>0</v>
      </c>
      <c r="BO144" s="123"/>
      <c r="BP144" s="123">
        <f>(BO144/12*2*$E144*$G144*$H144*$M144*$BP$11)+(BO144/12*10*$F144*$G144*$H144*$M144*$BP$12)</f>
        <v>0</v>
      </c>
      <c r="BQ144" s="123"/>
      <c r="BR144" s="123">
        <f>(BQ144/12*2*$E144*$G144*$H144*$M144*$BR$11)+(BQ144/12*10*$F144*$G144*$H144*$M144*$BR$11)</f>
        <v>0</v>
      </c>
      <c r="BS144" s="123">
        <v>0</v>
      </c>
      <c r="BT144" s="123">
        <f>(BS144/12*2*$E144*$G144*$H144*$N144*$BT$11)+(BS144/12*10*$F144*$G144*$H144*$N144*$BT$11)</f>
        <v>0</v>
      </c>
      <c r="BU144" s="123"/>
      <c r="BV144" s="126">
        <f>(BU144/12*2*$E144*$G144*$H144*$M144*$BV$11)+(BU144/12*10*$F144*$G144*$H144*$M144*$BV$11)</f>
        <v>0</v>
      </c>
      <c r="BW144" s="123"/>
      <c r="BX144" s="123">
        <f>(BW144/12*2*$E144*$G144*$H144*$M144*$BX$11)+(BW144/12*10*$F144*$G144*$H144*$M144*$BX$11)</f>
        <v>0</v>
      </c>
      <c r="BY144" s="123"/>
      <c r="BZ144" s="123">
        <f>(BY144/12*2*$E144*$G144*$H144*$M144*$BZ$11)+(BY144/12*10*$F144*$G144*$H144*$M144*$BZ$11)</f>
        <v>0</v>
      </c>
      <c r="CA144" s="123"/>
      <c r="CB144" s="123">
        <f>(CA144/12*2*$E144*$G144*$H144*$M144*$CB$11)+(CA144/12*10*$F144*$G144*$H144*$M144*$CB$11)</f>
        <v>0</v>
      </c>
      <c r="CC144" s="123">
        <v>1</v>
      </c>
      <c r="CD144" s="123">
        <f>(CC144/12*2*$E144*$G144*$H144*$M144*$CD$11)+(CC144/12*10*$F144*$G144*$H144*$M144*$CD$11)</f>
        <v>60851.748999999989</v>
      </c>
      <c r="CE144" s="123"/>
      <c r="CF144" s="123">
        <f>(CE144/12*10*$F144*$G144*$H144*$N144*$CF$11)</f>
        <v>0</v>
      </c>
      <c r="CG144" s="132"/>
      <c r="CH144" s="123">
        <f>(CG144/12*2*$E144*$G144*$H144*$N144*$CH$11)+(CG144/12*10*$F144*$G144*$H144*$N144*$CH$11)</f>
        <v>0</v>
      </c>
      <c r="CI144" s="123"/>
      <c r="CJ144" s="127">
        <f>(CI144*$E144*$G144*$H144*$N144*CJ$11)</f>
        <v>0</v>
      </c>
      <c r="CK144" s="123"/>
      <c r="CL144" s="123">
        <f>(CK144/12*2*$E144*$G144*$H144*$N144*$CL$11)+(CK144/12*10*$F144*$G144*$H144*$N144*$CL$12)</f>
        <v>0</v>
      </c>
      <c r="CM144" s="130"/>
      <c r="CN144" s="123">
        <f>(CM144/12*2*$E144*$G144*$H144*$N144*$CN$11)+(CM144/12*10*$F144*$G144*$H144*$N144*$CN$11)</f>
        <v>0</v>
      </c>
      <c r="CO144" s="123"/>
      <c r="CP144" s="123">
        <f>(CO144/12*2*$E144*$G144*$H144*$N144*$CP$11)+(CO144/12*10*$F144*$G144*$H144*$N144*$CP$11)</f>
        <v>0</v>
      </c>
      <c r="CQ144" s="123"/>
      <c r="CR144" s="123">
        <f>(CQ144/12*2*$E144*$G144*$H144*$O144*$CR$11)+(CQ144/12*10*$F144*$G144*$H144*$O144*$CR$11)</f>
        <v>0</v>
      </c>
      <c r="CS144" s="123"/>
      <c r="CT144" s="133">
        <f>(CS144/12*2*$E144*$G144*$H144*$P144*$CT$11)+(CS144/12*10*$F144*$G144*$H144*$P144*$CT$11)</f>
        <v>0</v>
      </c>
      <c r="CU144" s="127"/>
      <c r="CV144" s="123">
        <f>(CU144*$E144*$G144*$H144*$M144*CV$11)/12*6+(CU144*$E144*$G144*$H144*1*CV$11)/12*6</f>
        <v>0</v>
      </c>
      <c r="CW144" s="126">
        <f t="shared" si="205"/>
        <v>12</v>
      </c>
      <c r="CX144" s="126">
        <f t="shared" si="205"/>
        <v>934049.99310000008</v>
      </c>
    </row>
    <row r="145" spans="1:102" ht="30" x14ac:dyDescent="0.25">
      <c r="A145" s="277" t="s">
        <v>163</v>
      </c>
      <c r="B145" s="116">
        <v>116</v>
      </c>
      <c r="C145" s="117" t="s">
        <v>379</v>
      </c>
      <c r="D145" s="161" t="s">
        <v>380</v>
      </c>
      <c r="E145" s="95">
        <v>28004</v>
      </c>
      <c r="F145" s="96">
        <v>29405</v>
      </c>
      <c r="G145" s="119">
        <v>0.68</v>
      </c>
      <c r="H145" s="110">
        <v>0.9</v>
      </c>
      <c r="I145" s="110">
        <v>0.85</v>
      </c>
      <c r="J145" s="108"/>
      <c r="K145" s="108"/>
      <c r="L145" s="63"/>
      <c r="M145" s="120">
        <v>1.4</v>
      </c>
      <c r="N145" s="120">
        <v>1.68</v>
      </c>
      <c r="O145" s="120">
        <v>2.23</v>
      </c>
      <c r="P145" s="121">
        <v>2.57</v>
      </c>
      <c r="Q145" s="122">
        <v>50</v>
      </c>
      <c r="R145" s="123">
        <f>(Q145/12*2*$E145*$G145*$H145*$M145)+(Q145/12*10*$F145*$G145*$I145*$M145)</f>
        <v>1191387.1433333335</v>
      </c>
      <c r="S145" s="124">
        <v>262</v>
      </c>
      <c r="T145" s="125">
        <f>(S145/12*2*$E145*$G145*$H145*$M145)+(S145/12*10*$F145*$G145*$I145*$M145)</f>
        <v>6242868.631066666</v>
      </c>
      <c r="U145" s="123">
        <v>34</v>
      </c>
      <c r="V145" s="123">
        <f>(U145/12*2*$E145*$G145*$H145*$M145)+(U145/12*10*$F145*$G145*$I145*$M145)</f>
        <v>810143.25746666675</v>
      </c>
      <c r="W145" s="123"/>
      <c r="X145" s="123">
        <f>(W145/12*2*$E145*$G145*$H145*$M145)+(W145/12*10*$F145*$G145*$I145*$M145)</f>
        <v>0</v>
      </c>
      <c r="Y145" s="123"/>
      <c r="Z145" s="123">
        <f>(Y145/12*2*$E145*$G145*$H145*$M145)+(Y145/12*10*$F145*$G145*$I145*$M145)</f>
        <v>0</v>
      </c>
      <c r="AA145" s="123"/>
      <c r="AB145" s="123">
        <f>(AA145*$E145*$G145*$H145*$M145)/12*2+(AA145*$F145*$G145*$I145*$M145)/12*10</f>
        <v>0</v>
      </c>
      <c r="AC145" s="123"/>
      <c r="AD145" s="123"/>
      <c r="AE145" s="123">
        <f>250+4</f>
        <v>254</v>
      </c>
      <c r="AF145" s="127">
        <f>(AE145/12*2*$E145*$G145*$H145*$M145)+(AE145/12*10*$F145*$G145*$I145*$M145)</f>
        <v>6052246.6881333329</v>
      </c>
      <c r="AG145" s="123">
        <v>100</v>
      </c>
      <c r="AH145" s="123">
        <f>(AG145/12*2*$E145*$G145*$H145*$M145)+(AG145/12*10*$F145*$G145*$I145*$M145)</f>
        <v>2382774.2866666671</v>
      </c>
      <c r="AI145" s="130"/>
      <c r="AJ145" s="123">
        <f>(AI145/12*2*$E145*$G145*$H145*$M145)+(AI145/12*10*$F145*$G145*$I145*$M145)</f>
        <v>0</v>
      </c>
      <c r="AK145" s="123">
        <v>223</v>
      </c>
      <c r="AL145" s="126">
        <f>(AK145/12*2*$E145*$G145*$H145*$N145)+(AK145/12*10*$F145*$G145*$I145*$N145)</f>
        <v>6376303.9911199994</v>
      </c>
      <c r="AM145" s="132"/>
      <c r="AN145" s="123">
        <f>(AM145/12*2*$E145*$G145*$H145*$N145)+(AM145/12*10*$F145*$G145*$I145*$N145)</f>
        <v>0</v>
      </c>
      <c r="AO145" s="130"/>
      <c r="AP145" s="123">
        <f>(AO145/12*2*$E145*$G145*$H145*$N145)+(AO145/12*10*$F145*$G145*$I145*$N145)</f>
        <v>0</v>
      </c>
      <c r="AQ145" s="123">
        <v>122</v>
      </c>
      <c r="AR145" s="123">
        <v>3487823.3400000068</v>
      </c>
      <c r="AS145" s="123"/>
      <c r="AT145" s="123">
        <f>(AS145*$E145*$G145*$H145*$M145)/12*3+(AS145*$F145*$G145*$I145*$M145)/12*9</f>
        <v>0</v>
      </c>
      <c r="AU145" s="123"/>
      <c r="AV145" s="123"/>
      <c r="AW145" s="123">
        <v>25</v>
      </c>
      <c r="AX145" s="123">
        <f>(AW145/12*2*$E145*$G145*$H145*$M145)+(AW145/12*10*$F145*$G145*$I145*$M145)</f>
        <v>595693.57166666677</v>
      </c>
      <c r="AY145" s="123">
        <v>180</v>
      </c>
      <c r="AZ145" s="123">
        <f>(AY145/12*2*$E145*$G145*$H145*$N145)+(AY145/12*10*$F145*$G145*$I145*$N145)</f>
        <v>5146792.4592000004</v>
      </c>
      <c r="BA145" s="123">
        <v>18</v>
      </c>
      <c r="BB145" s="123">
        <f>(BA145/12*2*$E145*$G145*$H145*$N145)+(BA145/12*10*$F145*$G145*$I145*$N145)</f>
        <v>514679.24592000002</v>
      </c>
      <c r="BC145" s="123"/>
      <c r="BD145" s="123">
        <f>(BC145/12*2*$E145*$G145*$H145*$N145)+(BC145/12*10*$F145*$G145*$I145*$N145)</f>
        <v>0</v>
      </c>
      <c r="BE145" s="123">
        <v>52</v>
      </c>
      <c r="BF145" s="123">
        <f>(BE145/12*10*$F145*$G145*$I145*$N145)</f>
        <v>1237315.352</v>
      </c>
      <c r="BG145" s="123">
        <v>672</v>
      </c>
      <c r="BH145" s="123">
        <f>(BG145/12*2*$E145*$G145*$H145*$N145)+(BG145/12*10*$F145*$G145*$I145*$N145)</f>
        <v>19214691.847679999</v>
      </c>
      <c r="BI145" s="123">
        <v>50</v>
      </c>
      <c r="BJ145" s="123">
        <f>(BI145/12*2*$E145*$G145*$H145*$N145)+(BI145/12*10*$F145*$G145*$I145*$N145)</f>
        <v>1429664.5720000004</v>
      </c>
      <c r="BK145" s="123">
        <v>102</v>
      </c>
      <c r="BL145" s="123">
        <f>(BK145/12*2*$E145*$G145*$H145*$N145)+(BK145/12*10*$F145*$G145*$I145*$N145)</f>
        <v>2916515.7268800004</v>
      </c>
      <c r="BM145" s="123"/>
      <c r="BN145" s="123"/>
      <c r="BO145" s="123"/>
      <c r="BP145" s="123">
        <f>(BO145/12*2*$E145*$G145*$H145*$M145)+(BO145/12*10*$F145*$G145*$I145*$M145)</f>
        <v>0</v>
      </c>
      <c r="BQ145" s="123"/>
      <c r="BR145" s="123">
        <f>(BQ145/12*2*$E145*$G145*$H145*$M145)+(BQ145/12*10*$F145*$G145*$I145*$M145)</f>
        <v>0</v>
      </c>
      <c r="BS145" s="123">
        <v>186</v>
      </c>
      <c r="BT145" s="123">
        <f>(BS145/12*2*$E145*$G145*$H145*$N145)+(BS145/12*10*$F145*$G145*$I145*$N145)</f>
        <v>5318352.2078399993</v>
      </c>
      <c r="BU145" s="123">
        <v>120</v>
      </c>
      <c r="BV145" s="123">
        <f>(BU145/12*2*$E145*$G145*$H145*$M145)+(BU145/12*10*$F145*$G145*$I145*$M145)</f>
        <v>2859329.1440000003</v>
      </c>
      <c r="BW145" s="123">
        <v>200</v>
      </c>
      <c r="BX145" s="123">
        <f>(BW145/12*2*$E145*$G145*$H145*$M145)+(BW145/12*10*$F145*$G145*$I145*$M145)</f>
        <v>4765548.5733333342</v>
      </c>
      <c r="BY145" s="123">
        <v>60</v>
      </c>
      <c r="BZ145" s="123">
        <f>(BY145/12*2*$E145*$G145*$H145*$M145)+(BY145/12*10*$F145*$G145*$I145*$M145)</f>
        <v>1429664.5720000002</v>
      </c>
      <c r="CA145" s="123">
        <v>135</v>
      </c>
      <c r="CB145" s="123">
        <f>(CA145/12*2*$E145*$G145*$H145*$M145)+(CA145/12*10*$F145*$G145*$I145*$M145)</f>
        <v>3216745.2869999995</v>
      </c>
      <c r="CC145" s="123">
        <v>126</v>
      </c>
      <c r="CD145" s="123">
        <f>(CC145/12*2*$E145*$G145*$H145*$M145)+(CC145/12*10*$F145*$G145*$I145*$M145)</f>
        <v>3002295.6011999999</v>
      </c>
      <c r="CE145" s="123">
        <v>75</v>
      </c>
      <c r="CF145" s="123">
        <f>(CE145/12*10*$F145*$G145*$I145*$N145)</f>
        <v>1784589.45</v>
      </c>
      <c r="CG145" s="132"/>
      <c r="CH145" s="123">
        <f>(CG145/12*2*$E145*$G145*$H145*$N145)+(CG145/12*10*$F145*$G145*$I145*$N145)</f>
        <v>0</v>
      </c>
      <c r="CI145" s="123"/>
      <c r="CJ145" s="127">
        <f>(CI145*$E145*$G145*$H145*$N145)</f>
        <v>0</v>
      </c>
      <c r="CK145" s="123"/>
      <c r="CL145" s="123">
        <f>(CK145/12*2*$E145*$G145*$H145*$N145)+(CK145/12*10*$F145*$G145*$I145*$N145)</f>
        <v>0</v>
      </c>
      <c r="CM145" s="123">
        <v>19</v>
      </c>
      <c r="CN145" s="123">
        <f>(CM145/12*2*$E145*$G145*$H145*$N145)+(CM145/12*10*$F145*$G145*$I145*$N145)</f>
        <v>543272.53735999996</v>
      </c>
      <c r="CO145" s="123">
        <v>210</v>
      </c>
      <c r="CP145" s="123">
        <v>1904483.1399999987</v>
      </c>
      <c r="CQ145" s="123">
        <v>86</v>
      </c>
      <c r="CR145" s="123">
        <f>(CQ145/12*2*$E145*$G145*$H145*$O145)+(CQ145/12*10*$F145*$G145*$I145*$O145)</f>
        <v>3264060.3764066673</v>
      </c>
      <c r="CS145" s="123">
        <v>38</v>
      </c>
      <c r="CT145" s="127">
        <f>(CS145/12*2*$E145*$G145*$H145*$P145)+(CS145/12*10*$F145*$G145*$I145*$P145)</f>
        <v>1662155.2631133331</v>
      </c>
      <c r="CU145" s="127"/>
      <c r="CV145" s="127"/>
      <c r="CW145" s="126">
        <f t="shared" si="205"/>
        <v>3399</v>
      </c>
      <c r="CX145" s="126">
        <f t="shared" si="205"/>
        <v>87349396.265386671</v>
      </c>
    </row>
    <row r="146" spans="1:102" ht="15.75" customHeight="1" x14ac:dyDescent="0.25">
      <c r="A146" s="91"/>
      <c r="B146" s="116">
        <v>117</v>
      </c>
      <c r="C146" s="117" t="s">
        <v>381</v>
      </c>
      <c r="D146" s="161" t="s">
        <v>382</v>
      </c>
      <c r="E146" s="95">
        <v>28004</v>
      </c>
      <c r="F146" s="96">
        <v>29405</v>
      </c>
      <c r="G146" s="119">
        <v>1.01</v>
      </c>
      <c r="H146" s="107">
        <v>1</v>
      </c>
      <c r="I146" s="108"/>
      <c r="J146" s="108"/>
      <c r="K146" s="108"/>
      <c r="L146" s="63"/>
      <c r="M146" s="120">
        <v>1.4</v>
      </c>
      <c r="N146" s="120">
        <v>1.68</v>
      </c>
      <c r="O146" s="120">
        <v>2.23</v>
      </c>
      <c r="P146" s="121">
        <v>2.57</v>
      </c>
      <c r="Q146" s="122">
        <v>2</v>
      </c>
      <c r="R146" s="123">
        <f>(Q146/12*2*$E146*$G146*$H146*$M146*$R$11)+(Q146/12*10*$F146*$G146*$H146*$M146*$R$11)</f>
        <v>90746.7022</v>
      </c>
      <c r="S146" s="124">
        <v>45</v>
      </c>
      <c r="T146" s="125">
        <f>(S146/12*2*$E146*$G146*$H146*$M146*$R$11)+(S146/12*10*$F146*$G146*$H146*$M146*$R$11)</f>
        <v>2041800.7995000002</v>
      </c>
      <c r="U146" s="123">
        <v>34</v>
      </c>
      <c r="V146" s="123">
        <f>(U146/12*2*$E146*$G146*$H146*$M146*$V$11)+(U146/12*10*$F146*$G146*$H146*$M146*$V$12)</f>
        <v>1880964.2854333334</v>
      </c>
      <c r="W146" s="123"/>
      <c r="X146" s="126">
        <f>(W146/12*2*$E146*$G146*$H146*$M146*$X$11)+(W146/12*10*$F146*$G146*$H146*$M146*$X$12)</f>
        <v>0</v>
      </c>
      <c r="Y146" s="123"/>
      <c r="Z146" s="123">
        <f>(Y146/12*2*$E146*$G146*$H146*$M146*$Z$11)+(Y146/12*10*$F146*$G146*$H146*$M146*$Z$12)</f>
        <v>0</v>
      </c>
      <c r="AA146" s="123"/>
      <c r="AB146" s="123">
        <f>(AA146/12*2*$E146*$G146*$H146*$M146*$AB$11)+(AA146/12*10*$F146*$G146*$H146*$M146*$AB$11)</f>
        <v>0</v>
      </c>
      <c r="AC146" s="123"/>
      <c r="AD146" s="123"/>
      <c r="AE146" s="123"/>
      <c r="AF146" s="123">
        <f>(AE146/12*2*$E146*$G146*$H146*$M146*$AF$11)+(AE146/12*10*$F146*$G146*$H146*$M146*$AF$11)</f>
        <v>0</v>
      </c>
      <c r="AG146" s="135">
        <v>0</v>
      </c>
      <c r="AH146" s="136">
        <f>(AG146/12*2*$E146*$G146*$H146*$M146*$AH$11)+(AG146/12*10*$F146*$G146*$H146*$M146*$AH$11)</f>
        <v>0</v>
      </c>
      <c r="AI146" s="123"/>
      <c r="AJ146" s="123">
        <f>(AI146/12*2*$E146*$G146*$H146*$M146*$AJ$11)+(AI146/12*5*$F146*$G146*$H146*$M146*$AJ$12)+(AI146/12*5*$F146*$G146*$H146*$M146*$AJ$13)</f>
        <v>0</v>
      </c>
      <c r="AK146" s="123">
        <v>49</v>
      </c>
      <c r="AL146" s="123">
        <f>(AK146/12*2*$E146*$G146*$H146*$N146*$AL$11)+(AK146/12*5*$F146*$G146*$H146*$N146*$AL$12)+(AK146/12*5*$F146*$G146*$H146*$N146*$AL$13)</f>
        <v>3132661.8681399999</v>
      </c>
      <c r="AM146" s="132"/>
      <c r="AN146" s="123">
        <f>(AM146/12*2*$E146*$G146*$H146*$N146*$AN$11)+(AM146/12*10*$F146*$G146*$H146*$N146*$AN$12)</f>
        <v>0</v>
      </c>
      <c r="AO146" s="130"/>
      <c r="AP146" s="127">
        <f>(AO146/12*2*$E146*$G146*$H146*$N146*$AP$11)+(AO146/12*10*$F146*$G146*$H146*$N146*$AP$11)</f>
        <v>0</v>
      </c>
      <c r="AQ146" s="127">
        <v>0</v>
      </c>
      <c r="AR146" s="127">
        <v>0</v>
      </c>
      <c r="AS146" s="123"/>
      <c r="AT146" s="123">
        <f>(AS146/12*2*$E146*$G146*$H146*$M146*$AT$11)+(AS146/12*10*$F146*$G146*$H146*$M146*$AT$11)</f>
        <v>0</v>
      </c>
      <c r="AU146" s="123"/>
      <c r="AV146" s="126">
        <f>(AU146/12*2*$E146*$G146*$H146*$M146*$AV$11)+(AU146/12*10*$F146*$G146*$H146*$M146*$AV$12)</f>
        <v>0</v>
      </c>
      <c r="AW146" s="123">
        <v>5</v>
      </c>
      <c r="AX146" s="123">
        <f>(AW146/12*2*$E146*$G146*$H146*$M146*$AX$11)+(AW146/12*10*$F146*$G146*$H146*$M146*$AX$12)</f>
        <v>237096.33850000001</v>
      </c>
      <c r="AY146" s="123">
        <v>14</v>
      </c>
      <c r="AZ146" s="123">
        <f>(AY146/12*2*$E146*$G146*$H146*$N146*$AZ$11)+(AY146/12*10*$F146*$G146*$H146*$N146*$AZ$11)</f>
        <v>762272.29848000011</v>
      </c>
      <c r="BA146" s="123"/>
      <c r="BB146" s="123">
        <f>(BA146/12*2*$E146*$G146*$H146*$N146*$BB$11)+(BA146/12*10*$F146*$G146*$H146*$N146*$BB$12)</f>
        <v>0</v>
      </c>
      <c r="BC146" s="123"/>
      <c r="BD146" s="126">
        <f>(BC146/12*2*$E146*$G146*$H146*$N146*$BD$11)+(BC146/12*10*$F146*$G146*$H146*$N146*$BD$12)</f>
        <v>0</v>
      </c>
      <c r="BE146" s="123">
        <v>5</v>
      </c>
      <c r="BF146" s="123">
        <f>(BE146/12*10*$F146*$G146*$H146*$N146*$BF$12)</f>
        <v>207893.35</v>
      </c>
      <c r="BG146" s="123"/>
      <c r="BH146" s="123">
        <f>(BG146/12*2*$E146*$G146*$H146*$N146*$BH$11)+(BG146/12*10*$F146*$G146*$H146*$N146*$BH$11)</f>
        <v>0</v>
      </c>
      <c r="BI146" s="123">
        <v>2</v>
      </c>
      <c r="BJ146" s="126">
        <f>(BI146/12*2*$E146*$G146*$H146*$N146*$BJ$11)+(BI146/12*10*$F146*$G146*$H146*$N146*$BJ$11)</f>
        <v>118795.68287999998</v>
      </c>
      <c r="BK146" s="123">
        <v>3</v>
      </c>
      <c r="BL146" s="127">
        <f>(BK146/12*2*$E146*$G146*$H146*$N146*$BL$11)+(BK146/12*10*$F146*$G146*$H146*$N146*$BL$11)</f>
        <v>178193.52432</v>
      </c>
      <c r="BM146" s="123"/>
      <c r="BN146" s="123">
        <f>(BM146/12*2*$E146*$G146*$H146*$M146*$BN$11)+(BM146/12*10*$F146*$G146*$H146*$M146*$BN$11)</f>
        <v>0</v>
      </c>
      <c r="BO146" s="123"/>
      <c r="BP146" s="123">
        <f>(BO146/12*2*$E146*$G146*$H146*$M146*$BP$11)+(BO146/12*10*$F146*$G146*$H146*$M146*$BP$12)</f>
        <v>0</v>
      </c>
      <c r="BQ146" s="123"/>
      <c r="BR146" s="123">
        <f>(BQ146/12*2*$E146*$G146*$H146*$M146*$BR$11)+(BQ146/12*10*$F146*$G146*$H146*$M146*$BR$11)</f>
        <v>0</v>
      </c>
      <c r="BS146" s="123">
        <v>0</v>
      </c>
      <c r="BT146" s="123">
        <f>(BS146/12*2*$E146*$G146*$H146*$N146*$BT$11)+(BS146/12*10*$F146*$G146*$H146*$N146*$BT$11)</f>
        <v>0</v>
      </c>
      <c r="BU146" s="123"/>
      <c r="BV146" s="126">
        <f>(BU146/12*2*$E146*$G146*$H146*$M146*$BV$11)+(BU146/12*10*$F146*$G146*$H146*$M146*$BV$11)</f>
        <v>0</v>
      </c>
      <c r="BW146" s="123"/>
      <c r="BX146" s="123">
        <f>(BW146/12*2*$E146*$G146*$H146*$M146*$BX$11)+(BW146/12*10*$F146*$G146*$H146*$M146*$BX$11)</f>
        <v>0</v>
      </c>
      <c r="BY146" s="123"/>
      <c r="BZ146" s="123">
        <f>(BY146/12*2*$E146*$G146*$H146*$M146*$BZ$11)+(BY146/12*10*$F146*$G146*$H146*$M146*$BZ$11)</f>
        <v>0</v>
      </c>
      <c r="CA146" s="123">
        <v>1</v>
      </c>
      <c r="CB146" s="123">
        <f>(CA146/12*2*$E146*$G146*$H146*$M146*$CB$11)+(CA146/12*10*$F146*$G146*$H146*$M146*$CB$11)</f>
        <v>49498.201199999989</v>
      </c>
      <c r="CC146" s="123">
        <v>2</v>
      </c>
      <c r="CD146" s="123">
        <f>(CC146/12*2*$E146*$G146*$H146*$M146*$CD$11)+(CC146/12*10*$F146*$G146*$H146*$M146*$CD$11)</f>
        <v>82497.001999999993</v>
      </c>
      <c r="CE146" s="123">
        <v>5</v>
      </c>
      <c r="CF146" s="123">
        <f>(CE146/12*10*$F146*$G146*$H146*$N146*$CF$11)</f>
        <v>207893.35</v>
      </c>
      <c r="CG146" s="132"/>
      <c r="CH146" s="123">
        <f>(CG146/12*2*$E146*$G146*$H146*$N146*$CH$11)+(CG146/12*10*$F146*$G146*$H146*$N146*$CH$11)</f>
        <v>0</v>
      </c>
      <c r="CI146" s="123"/>
      <c r="CJ146" s="127">
        <f>(CI146*$E146*$G146*$H146*$N146*CJ$11)</f>
        <v>0</v>
      </c>
      <c r="CK146" s="123"/>
      <c r="CL146" s="123">
        <f>(CK146/12*2*$E146*$G146*$H146*$N146*$CL$11)+(CK146/12*10*$F146*$G146*$H146*$N146*$CL$12)</f>
        <v>0</v>
      </c>
      <c r="CM146" s="130"/>
      <c r="CN146" s="123">
        <f>(CM146/12*2*$E146*$G146*$H146*$N146*$CN$11)+(CM146/12*10*$F146*$G146*$H146*$N146*$CN$11)</f>
        <v>0</v>
      </c>
      <c r="CO146" s="123">
        <v>0</v>
      </c>
      <c r="CP146" s="123">
        <v>0</v>
      </c>
      <c r="CQ146" s="123"/>
      <c r="CR146" s="123">
        <f>(CQ146/12*2*$E146*$G146*$H146*$O146*$CR$11)+(CQ146/12*10*$F146*$G146*$H146*$O146*$CR$11)</f>
        <v>0</v>
      </c>
      <c r="CS146" s="123"/>
      <c r="CT146" s="133">
        <f>(CS146/12*2*$E146*$G146*$H146*$P146*$CT$11)+(CS146/12*10*$F146*$G146*$H146*$P146*$CT$11)</f>
        <v>0</v>
      </c>
      <c r="CU146" s="127"/>
      <c r="CV146" s="123">
        <f>(CU146*$E146*$G146*$H146*$M146*CV$11)/12*6+(CU146*$E146*$G146*$H146*1*CV$11)/12*6</f>
        <v>0</v>
      </c>
      <c r="CW146" s="126">
        <f t="shared" si="205"/>
        <v>167</v>
      </c>
      <c r="CX146" s="126">
        <f t="shared" si="205"/>
        <v>8990313.4026533328</v>
      </c>
    </row>
    <row r="147" spans="1:102" ht="15.75" customHeight="1" x14ac:dyDescent="0.25">
      <c r="A147" s="91"/>
      <c r="B147" s="116">
        <v>118</v>
      </c>
      <c r="C147" s="117" t="s">
        <v>383</v>
      </c>
      <c r="D147" s="161" t="s">
        <v>384</v>
      </c>
      <c r="E147" s="95">
        <v>28004</v>
      </c>
      <c r="F147" s="96">
        <v>29405</v>
      </c>
      <c r="G147" s="107">
        <v>0.4</v>
      </c>
      <c r="H147" s="107">
        <v>1</v>
      </c>
      <c r="I147" s="108"/>
      <c r="J147" s="108"/>
      <c r="K147" s="108"/>
      <c r="L147" s="63"/>
      <c r="M147" s="120">
        <v>1.4</v>
      </c>
      <c r="N147" s="120">
        <v>1.68</v>
      </c>
      <c r="O147" s="120">
        <v>2.23</v>
      </c>
      <c r="P147" s="121">
        <v>2.57</v>
      </c>
      <c r="Q147" s="122">
        <v>0</v>
      </c>
      <c r="R147" s="123">
        <f>(Q147/12*2*$E147*$G147*$H147*$M147)+(Q147/12*10*$F147*$G147*$H147*$M147)</f>
        <v>0</v>
      </c>
      <c r="S147" s="124">
        <v>89</v>
      </c>
      <c r="T147" s="125">
        <f>(S147/12*2*$E147*$G147*$H147*$M147)+(S147/12*10*$F147*$G147*$H147*$M147)</f>
        <v>1453907.56</v>
      </c>
      <c r="U147" s="123"/>
      <c r="V147" s="123">
        <f>(U147/12*2*$E147*$G147*$H147*$M147)+(U147/12*10*$F147*$G147*$H147*$M147)</f>
        <v>0</v>
      </c>
      <c r="W147" s="123"/>
      <c r="X147" s="123">
        <f>(W147/12*2*$E147*$G147*$H147*$M147)+(W147/12*10*$F147*$G147*$H147*$M147)</f>
        <v>0</v>
      </c>
      <c r="Y147" s="123"/>
      <c r="Z147" s="123">
        <f>(Y147/12*2*$E147*$G147*$H147*$M147)+(Y147/12*10*$F147*$G147*$H147*$M147)</f>
        <v>0</v>
      </c>
      <c r="AA147" s="123"/>
      <c r="AB147" s="123">
        <f>(AA147/12*2*$E147*$G147*$H147*$M147)+(AA147/12*10*$F147*$G147*$H147*$M147)</f>
        <v>0</v>
      </c>
      <c r="AC147" s="123"/>
      <c r="AD147" s="123"/>
      <c r="AE147" s="123"/>
      <c r="AF147" s="123">
        <f>(AE147/12*2*$E147*$G147*$H147*$M147)+(AE147/12*10*$F147*$G147*$H147*$M147)</f>
        <v>0</v>
      </c>
      <c r="AG147" s="123">
        <v>0</v>
      </c>
      <c r="AH147" s="123">
        <f>(AG147/12*2*$E147*$G147*$H147*$M147)+(AG147/12*10*$F147*$G147*$H147*$M147)</f>
        <v>0</v>
      </c>
      <c r="AI147" s="123"/>
      <c r="AJ147" s="123">
        <f>(AI147/12*2*$E147*$G147*$H147*$M147)+(AI147/12*10*$F147*$G147*$H147*$M147)</f>
        <v>0</v>
      </c>
      <c r="AK147" s="123">
        <v>129</v>
      </c>
      <c r="AL147" s="126">
        <f>(AK147/12*2*$E147*$G147*$H147*$N147)+(AK147/12*10*$F147*$G147*$H147*$N147)</f>
        <v>2528818.9919999996</v>
      </c>
      <c r="AM147" s="132"/>
      <c r="AN147" s="123">
        <f>(AM147/12*2*$E147*$G147*$H147*$N147)+(AM147/12*10*$F147*$G147*$H147*$N147)</f>
        <v>0</v>
      </c>
      <c r="AO147" s="130"/>
      <c r="AP147" s="123">
        <f>(AO147/12*2*$E147*$G147*$H147*$N147)+(AO147/12*10*$F147*$G147*$H147*$N147)</f>
        <v>0</v>
      </c>
      <c r="AQ147" s="123">
        <v>2</v>
      </c>
      <c r="AR147" s="123">
        <v>39520.32</v>
      </c>
      <c r="AS147" s="123"/>
      <c r="AT147" s="123"/>
      <c r="AU147" s="123"/>
      <c r="AV147" s="123"/>
      <c r="AW147" s="123">
        <v>14</v>
      </c>
      <c r="AX147" s="123">
        <f>(AW147/12*2*$E147*$G147*$H147*$M147)+(AW147/12*10*$F147*$G147*$H147*$M147)</f>
        <v>228704.56</v>
      </c>
      <c r="AY147" s="123">
        <v>20</v>
      </c>
      <c r="AZ147" s="123">
        <f>(AY147/12*2*$E147*$G147*$H147*$N147)+(AY147/12*10*$F147*$G147*$H147*$N147)</f>
        <v>392064.96000000008</v>
      </c>
      <c r="BA147" s="123"/>
      <c r="BB147" s="123">
        <f>(BA147/12*2*$E147*$G147*$H147*$N147)+(BA147/12*10*$F147*$G147*$H147*$N147)</f>
        <v>0</v>
      </c>
      <c r="BC147" s="123"/>
      <c r="BD147" s="123">
        <f>(BC147/12*2*$E147*$G147*$H147*$N147)+(BC147/12*10*$F147*$G147*$H147*$N147)</f>
        <v>0</v>
      </c>
      <c r="BE147" s="123">
        <v>45</v>
      </c>
      <c r="BF147" s="123">
        <f>(BE147/12*10*$F147*$G147*$H147*$N147)</f>
        <v>741006</v>
      </c>
      <c r="BG147" s="123">
        <v>3</v>
      </c>
      <c r="BH147" s="123">
        <f>(BG147/12*2*$E147*$G147*$H147*$N147)+(BG147/12*10*$F147*$G147*$H147*$N147)</f>
        <v>58809.743999999999</v>
      </c>
      <c r="BI147" s="123">
        <v>26</v>
      </c>
      <c r="BJ147" s="123">
        <f>(BI147/12*2*$E147*$G147*$H147*$N147)+(BI147/12*10*$F147*$G147*$H147*$N147)</f>
        <v>509684.44799999992</v>
      </c>
      <c r="BK147" s="123">
        <v>25</v>
      </c>
      <c r="BL147" s="123">
        <f>(BK147/12*2*$E147*$G147*$H147*$N147)+(BK147/12*10*$F147*$G147*$H147*$N147)</f>
        <v>490081.20000000007</v>
      </c>
      <c r="BM147" s="123"/>
      <c r="BN147" s="123">
        <f>(BM147/12*2*$E147*$G147*$H147*$M147)+(BM147/12*10*$F147*$G147*$H147*$M147)</f>
        <v>0</v>
      </c>
      <c r="BO147" s="123"/>
      <c r="BP147" s="123">
        <f>(BO147/12*2*$E147*$G147*$H147*$M147)+(BO147/12*10*$F147*$G147*$H147*$M147)</f>
        <v>0</v>
      </c>
      <c r="BQ147" s="123"/>
      <c r="BR147" s="123">
        <f>(BQ147/12*2*$E147*$G147*$H147*$M147)+(BQ147/12*10*$F147*$G147*$H147*$M147)</f>
        <v>0</v>
      </c>
      <c r="BS147" s="123">
        <v>22</v>
      </c>
      <c r="BT147" s="123">
        <f>(BS147/12*2*$E147*$G147*$H147*$N147)+(BS147/12*10*$F147*$G147*$H147*$N147)</f>
        <v>431271.45600000001</v>
      </c>
      <c r="BU147" s="123"/>
      <c r="BV147" s="123">
        <f>(BU147/12*2*$E147*$G147*$H147*$M147)+(BU147/12*10*$F147*$G147*$H147*$M147)</f>
        <v>0</v>
      </c>
      <c r="BW147" s="123"/>
      <c r="BX147" s="123">
        <f>(BW147/12*2*$E147*$G147*$H147*$M147)+(BW147/12*10*$F147*$G147*$H147*$M147)</f>
        <v>0</v>
      </c>
      <c r="BY147" s="123">
        <v>36</v>
      </c>
      <c r="BZ147" s="123">
        <f>(BY147/12*2*$E147*$G147*$H147*$M147)+(BY147/12*10*$F147*$G147*$H147*$M147)</f>
        <v>588097.43999999994</v>
      </c>
      <c r="CA147" s="123">
        <v>9</v>
      </c>
      <c r="CB147" s="123">
        <f>(CA147/12*2*$E147*$G147*$H147*$M147)+(CA147/12*10*$F147*$G147*$H147*$M147)</f>
        <v>147024.35999999999</v>
      </c>
      <c r="CC147" s="123">
        <v>22</v>
      </c>
      <c r="CD147" s="123">
        <f>(CC147/12*2*$E147*$G147*$H147*$M147)+(CC147/12*10*$F147*$G147*$H147*$M147)</f>
        <v>359392.88</v>
      </c>
      <c r="CE147" s="123"/>
      <c r="CF147" s="123">
        <f>(CE147/12*10*$F147*$G147*$H147*$N147)</f>
        <v>0</v>
      </c>
      <c r="CG147" s="132"/>
      <c r="CH147" s="123">
        <f>(CG147/12*2*$E147*$G147*$H147*$N147)+(CG147/12*10*$F147*$G147*$H147*$N147)</f>
        <v>0</v>
      </c>
      <c r="CI147" s="123"/>
      <c r="CJ147" s="127">
        <f>(CI147*$E147*$G147*$H147*$N147)</f>
        <v>0</v>
      </c>
      <c r="CK147" s="123"/>
      <c r="CL147" s="123">
        <f>(CK147/12*2*$E147*$G147*$H147*$N147)+(CK147/12*10*$F147*$G147*$H147*$N147)</f>
        <v>0</v>
      </c>
      <c r="CM147" s="130">
        <v>12</v>
      </c>
      <c r="CN147" s="123">
        <f>(CM147/12*2*$E147*$G147*$H147*$N147)+(CM147/12*10*$F147*$G147*$H147*$N147)</f>
        <v>235238.976</v>
      </c>
      <c r="CO147" s="123">
        <v>16</v>
      </c>
      <c r="CP147" s="123">
        <v>59280.479999999996</v>
      </c>
      <c r="CQ147" s="123">
        <v>3</v>
      </c>
      <c r="CR147" s="123">
        <f>(CQ147/12*2*$E147*$G147*$H147*$O147)+(CQ147/12*10*$F147*$G147*$H147*$O147)</f>
        <v>78062.933999999994</v>
      </c>
      <c r="CS147" s="123">
        <v>5</v>
      </c>
      <c r="CT147" s="127">
        <f>(CS147/12*2*$E147*$G147*$H147*$P147)+(CS147/12*10*$F147*$G147*$H147*$P147)</f>
        <v>149941.51</v>
      </c>
      <c r="CU147" s="127"/>
      <c r="CV147" s="127"/>
      <c r="CW147" s="126">
        <f t="shared" si="205"/>
        <v>478</v>
      </c>
      <c r="CX147" s="126">
        <f t="shared" si="205"/>
        <v>8490907.8200000022</v>
      </c>
    </row>
    <row r="148" spans="1:102" ht="30" x14ac:dyDescent="0.25">
      <c r="A148" s="91"/>
      <c r="B148" s="116">
        <v>119</v>
      </c>
      <c r="C148" s="117" t="s">
        <v>385</v>
      </c>
      <c r="D148" s="161" t="s">
        <v>386</v>
      </c>
      <c r="E148" s="95">
        <v>28004</v>
      </c>
      <c r="F148" s="96">
        <v>29405</v>
      </c>
      <c r="G148" s="119">
        <v>1.54</v>
      </c>
      <c r="H148" s="107">
        <v>1</v>
      </c>
      <c r="I148" s="110">
        <v>0.9</v>
      </c>
      <c r="J148" s="203"/>
      <c r="K148" s="203"/>
      <c r="L148" s="63"/>
      <c r="M148" s="120">
        <v>1.4</v>
      </c>
      <c r="N148" s="120">
        <v>1.68</v>
      </c>
      <c r="O148" s="120">
        <v>2.23</v>
      </c>
      <c r="P148" s="121">
        <v>2.57</v>
      </c>
      <c r="Q148" s="122">
        <v>5</v>
      </c>
      <c r="R148" s="123">
        <f>(Q148/12*2*$E148*$G148*$H148*$M148*$R$11)+(Q148/12*10*$F148*$G148*$I148*$M148*$R$11)</f>
        <v>316858.60616666672</v>
      </c>
      <c r="S148" s="124">
        <v>399</v>
      </c>
      <c r="T148" s="125">
        <f>(S148/12*2*$E148*$G148*$H148*$M148*$R$11)+(S148/12*10*$F148*$G148*$I148*$M148*$R$11)</f>
        <v>25285316.772100002</v>
      </c>
      <c r="U148" s="123"/>
      <c r="V148" s="123">
        <f>(U148/12*2*$E148*$G148*$H148*$M148*$V$11)+(U148/12*10*$F148*$G148*$I148*$M148*$V$12)</f>
        <v>0</v>
      </c>
      <c r="W148" s="123"/>
      <c r="X148" s="126">
        <f>(W148/12*2*$E148*$G148*$H148*$M148*$X$11)+(W148/12*10*$F148*$G148*$I148*$M148*$X$12)</f>
        <v>0</v>
      </c>
      <c r="Y148" s="123"/>
      <c r="Z148" s="123">
        <f>(Y148/12*2*$E148*$G148*$H148*$M148*$Z$11)+(Y148/12*10*$F148*$G148*$I148*$M148*$Z$12)</f>
        <v>0</v>
      </c>
      <c r="AA148" s="123"/>
      <c r="AB148" s="123">
        <f>(AA148/12*2*$E148*$G148*$H148*$M148*$AB$11)+(AA148/12*10*$F148*$G148*$I148*$M148*$AB$11)</f>
        <v>0</v>
      </c>
      <c r="AC148" s="123"/>
      <c r="AD148" s="123"/>
      <c r="AE148" s="123"/>
      <c r="AF148" s="123">
        <f>(AE148/12*2*$E148*$G148*$H148*$M148*$AF$11)+(AE148/12*10*$F148*$G148*$I148*$M148*$AF$11)</f>
        <v>0</v>
      </c>
      <c r="AG148" s="123">
        <v>0</v>
      </c>
      <c r="AH148" s="126">
        <f>(AG148/12*2*$E148*$G148*$H148*$M148*$AH$11)+(AG148/12*10*$F148*$G148*$I148*$M148*$AH$11)</f>
        <v>0</v>
      </c>
      <c r="AI148" s="123"/>
      <c r="AJ148" s="123">
        <f>(AI148/12*2*$E148*$G148*$H148*$M148*$AJ$11)+(AI148/12*5*$F148*$G148*$I148*$M148*$AJ$12)+(AI148/12*5*$F148*$G148*$I148*$M148*$AJ$13)</f>
        <v>0</v>
      </c>
      <c r="AK148" s="123">
        <v>150</v>
      </c>
      <c r="AL148" s="123">
        <f>(AK148/12*2*$E148*$G148*$H148*$N148*$AL$11)+(AK148/12*5*$F148*$G148*$I148*$N148*$AL$12)+(AK148/12*5*$F148*$G148*$I148*$N148*$AL$13)</f>
        <v>13395307.232999999</v>
      </c>
      <c r="AM148" s="132"/>
      <c r="AN148" s="123">
        <f>(AM148/12*2*$E148*$G148*$H148*$N148*$AN$11)+(AM148/12*10*$F148*$G148*$I148*$N148*$AN$12)</f>
        <v>0</v>
      </c>
      <c r="AO148" s="130"/>
      <c r="AP148" s="127">
        <f>(AO148/12*2*$E148*$G148*$H148*$N148*$AP$11)+(AO148/12*10*$F148*$G148*$I148*$N148*$AP$11)</f>
        <v>0</v>
      </c>
      <c r="AQ148" s="127">
        <v>0</v>
      </c>
      <c r="AR148" s="127">
        <v>0</v>
      </c>
      <c r="AS148" s="123"/>
      <c r="AT148" s="123"/>
      <c r="AU148" s="123"/>
      <c r="AV148" s="126"/>
      <c r="AW148" s="123">
        <v>1</v>
      </c>
      <c r="AX148" s="123">
        <f>(AW148/12*2*$E148*$G148*$H148*$M148*$AX$11)+(AW148/12*10*$F148*$G148*$I148*$M148*$AX$12)</f>
        <v>66279.91369999999</v>
      </c>
      <c r="AY148" s="123">
        <v>27</v>
      </c>
      <c r="AZ148" s="123">
        <f>(AY148/12*2*$E148*$G148*$H148*$N148*$AZ$11)+(AY148/12*10*$F148*$G148*$I148*$N148*$AZ$11)</f>
        <v>2053243.7679600001</v>
      </c>
      <c r="BA148" s="123"/>
      <c r="BB148" s="123">
        <f>(BA148/12*2*$E148*$G148*$H148*$N148*$BB$11)+(BA148/12*10*$F148*$G148*$I148*$N148*$BB$12)</f>
        <v>0</v>
      </c>
      <c r="BC148" s="123"/>
      <c r="BD148" s="126"/>
      <c r="BE148" s="123">
        <v>8</v>
      </c>
      <c r="BF148" s="123">
        <f>(BE148/12*10*$F148*$G148*$I148*$N148*$BF$12)</f>
        <v>456459.696</v>
      </c>
      <c r="BG148" s="123">
        <v>2</v>
      </c>
      <c r="BH148" s="123">
        <f>(BG148/12*2*$E148*$G148*$H148*$N148*$BH$11)+(BG148/12*10*$F148*$G148*$I148*$N148*$BH$11)</f>
        <v>124439.01624</v>
      </c>
      <c r="BI148" s="123">
        <v>6</v>
      </c>
      <c r="BJ148" s="126">
        <f>(BI148/12*2*$E148*$G148*$H148*$N148*$BJ$11)+(BI148/12*10*$F148*$G148*$I148*$N148*$BJ$11)</f>
        <v>497756.06495999999</v>
      </c>
      <c r="BK148" s="123">
        <v>7</v>
      </c>
      <c r="BL148" s="127">
        <f>(BK148/12*2*$E148*$G148*$H148*$N148*$BL$11)+(BK148/12*10*$F148*$G148*$I148*$N148*$BL$11)</f>
        <v>580715.40911999997</v>
      </c>
      <c r="BM148" s="123"/>
      <c r="BN148" s="123">
        <f>(BM148/12*2*$E148*$G148*$H148*$M148*$BN$11)+(BM148/12*10*$F148*$G148*$I148*$M148*$BN$11)</f>
        <v>0</v>
      </c>
      <c r="BO148" s="123"/>
      <c r="BP148" s="123">
        <f>(BO148/12*2*$E148*$G148*$H148*$M148*$BP$11)+(BO148/12*10*$F148*$G148*$I148*$M148*$BP$12)</f>
        <v>0</v>
      </c>
      <c r="BQ148" s="123"/>
      <c r="BR148" s="123">
        <f>(BQ148/12*2*$E148*$G148*$H148*$M148*$BR$11)+(BQ148/12*10*$F148*$G148*$I148*$M148*$BR$11)</f>
        <v>0</v>
      </c>
      <c r="BS148" s="123">
        <v>0</v>
      </c>
      <c r="BT148" s="123">
        <f>(BS148/12*2*$E148*$G148*$H148*$N148*$BT$11)+(BS148/12*10*$F148*$G148*$I148*$N148*$BT$11)</f>
        <v>0</v>
      </c>
      <c r="BU148" s="123"/>
      <c r="BV148" s="126">
        <f>(BU148/12*2*$E148*$G148*$H148*$M148*$BV$11)+(BU148/12*10*$F148*$G148*$I148*$M148*$BV$11)</f>
        <v>0</v>
      </c>
      <c r="BW148" s="123"/>
      <c r="BX148" s="123">
        <f>(BW148/12*2*$E148*$G148*$H148*$M148*$BX$11)+(BW148/12*10*$F148*$G148*$I148*$M148*$BX$11)</f>
        <v>0</v>
      </c>
      <c r="BY148" s="123"/>
      <c r="BZ148" s="123">
        <f>(BY148/12*2*$E148*$G148*$H148*$M148*$BZ$11)+(BY148/12*10*$F148*$G148*$I148*$M148*$BZ$11)</f>
        <v>0</v>
      </c>
      <c r="CA148" s="123">
        <v>1</v>
      </c>
      <c r="CB148" s="123">
        <f>(CA148/12*2*$E148*$G148*$H148*$M148*$CB$11)+(CA148/12*10*$F148*$G148*$I148*$M148*$CB$11)</f>
        <v>69132.786800000002</v>
      </c>
      <c r="CC148" s="123">
        <v>9</v>
      </c>
      <c r="CD148" s="123">
        <f>(CC148/12*2*$E148*$G148*$H148*$M148*$CD$11)+(CC148/12*10*$F148*$G148*$I148*$M148*$CD$11)</f>
        <v>518495.90100000001</v>
      </c>
      <c r="CE148" s="123">
        <v>17</v>
      </c>
      <c r="CF148" s="123">
        <f>(CE148/12*10*$F148*$G148*$I148*$N148*$CF$11)</f>
        <v>969976.85400000005</v>
      </c>
      <c r="CG148" s="132"/>
      <c r="CH148" s="123">
        <f>(CG148/12*2*$E148*$G148*$H148*$N148*$CH$11)+(CG148/12*10*$F148*$G148*$I148*$N148*$CH$11)</f>
        <v>0</v>
      </c>
      <c r="CI148" s="123"/>
      <c r="CJ148" s="127"/>
      <c r="CK148" s="123"/>
      <c r="CL148" s="123">
        <f>(CK148/12*2*$E148*$G148*$H148*$N148*$CL$11)+(CK148/12*10*$F148*$G148*$I148*$N148*$CL$12)</f>
        <v>0</v>
      </c>
      <c r="CM148" s="130"/>
      <c r="CN148" s="123">
        <f>(CM148/12*2*$E148*$G148*$H148*$N148*$CN$11)+(CM148/12*10*$F148*$G148*$I148*$N148*$CN$11)</f>
        <v>0</v>
      </c>
      <c r="CO148" s="123"/>
      <c r="CP148" s="123">
        <f>(CO148/12*2*$E148*$G148*$H148*$N148*$CP$11)+(CO148/12*10*$F148*$G148*$I148*$N148*$CP$11)</f>
        <v>0</v>
      </c>
      <c r="CQ148" s="123"/>
      <c r="CR148" s="123">
        <f>(CQ148/12*2*$E148*$G148*$H148*$O148*$CR$11)+(CQ148/12*10*$F148*$G148*$I148*$O148*$CR$11)</f>
        <v>0</v>
      </c>
      <c r="CS148" s="123">
        <v>3</v>
      </c>
      <c r="CT148" s="133">
        <f>(CS148/12*2*$E148*$G148*$H148*$P148*$CT$11)+(CS148/12*10*$F148*$G148*$I148*$P148*$CT$11)</f>
        <v>317270.11085</v>
      </c>
      <c r="CU148" s="127"/>
      <c r="CV148" s="123"/>
      <c r="CW148" s="126">
        <f t="shared" si="205"/>
        <v>635</v>
      </c>
      <c r="CX148" s="126">
        <f t="shared" si="205"/>
        <v>44651252.131896675</v>
      </c>
    </row>
    <row r="149" spans="1:102" ht="30" customHeight="1" x14ac:dyDescent="0.25">
      <c r="A149" s="91"/>
      <c r="B149" s="116">
        <v>120</v>
      </c>
      <c r="C149" s="117" t="s">
        <v>387</v>
      </c>
      <c r="D149" s="161" t="s">
        <v>388</v>
      </c>
      <c r="E149" s="95">
        <v>28004</v>
      </c>
      <c r="F149" s="96">
        <v>29405</v>
      </c>
      <c r="G149" s="119">
        <v>4.13</v>
      </c>
      <c r="H149" s="110">
        <v>0.8</v>
      </c>
      <c r="I149" s="203"/>
      <c r="J149" s="203"/>
      <c r="K149" s="203"/>
      <c r="L149" s="63"/>
      <c r="M149" s="120">
        <v>1.4</v>
      </c>
      <c r="N149" s="120">
        <v>1.68</v>
      </c>
      <c r="O149" s="120">
        <v>2.23</v>
      </c>
      <c r="P149" s="121">
        <v>2.57</v>
      </c>
      <c r="Q149" s="122">
        <v>0</v>
      </c>
      <c r="R149" s="123">
        <f>(Q149/12*2*$E149*$G149*$H149*$M149*$R$11)+(Q149/12*10*$F149*$G149*$H149*$M149*$R$11)</f>
        <v>0</v>
      </c>
      <c r="S149" s="124">
        <v>349</v>
      </c>
      <c r="T149" s="125">
        <f>(S149/12*2*$E149*$G149*$H149*$M149*$R$11)+(S149/12*10*$F149*$G149*$H149*$M149*$R$11)</f>
        <v>51801811.54456</v>
      </c>
      <c r="U149" s="123"/>
      <c r="V149" s="123">
        <f>(U149/12*2*$E149*$G149*$H149*$M149*$V$11)+(U149/12*10*$F149*$G149*$H149*$M149*$V$12)</f>
        <v>0</v>
      </c>
      <c r="W149" s="123"/>
      <c r="X149" s="126">
        <f>(W149/12*2*$E149*$G149*$H149*$M149*$X$11)+(W149/12*10*$F149*$G149*$H149*$M149*$X$12)</f>
        <v>0</v>
      </c>
      <c r="Y149" s="123"/>
      <c r="Z149" s="123">
        <f>(Y149/12*2*$E149*$G149*$H149*$M149*$Z$11)+(Y149/12*10*$F149*$G149*$H149*$M149*$Z$12)</f>
        <v>0</v>
      </c>
      <c r="AA149" s="123"/>
      <c r="AB149" s="123">
        <f>(AA149/12*2*$E149*$G149*$H149*$M149*$AB$11)+(AA149/12*10*$F149*$G149*$H149*$M149*$AB$11)</f>
        <v>0</v>
      </c>
      <c r="AC149" s="123"/>
      <c r="AD149" s="123"/>
      <c r="AE149" s="123"/>
      <c r="AF149" s="123">
        <f>(AE149/12*2*$E149*$G149*$H149*$M149*$AF$11)+(AE149/12*10*$F149*$G149*$H149*$M149*$AF$11)</f>
        <v>0</v>
      </c>
      <c r="AG149" s="123">
        <v>0</v>
      </c>
      <c r="AH149" s="126">
        <f>(AG149/12*2*$E149*$G149*$H149*$M149*$AH$11)+(AG149/12*10*$F149*$G149*$H149*$M149*$AH$11)</f>
        <v>0</v>
      </c>
      <c r="AI149" s="123"/>
      <c r="AJ149" s="123">
        <f>(AI149/12*2*$E149*$G149*$H149*$M149*$AJ$11)+(AI149/12*5*$F149*$G149*$H149*$M149*$AJ$12)+(AI149/12*5*$F149*$G149*$H149*$M149*$AJ$13)</f>
        <v>0</v>
      </c>
      <c r="AK149" s="123">
        <v>124</v>
      </c>
      <c r="AL149" s="123">
        <f>(AK149/12*2*$E149*$G149*$H149*$N149*$AL$11)+(AK149/12*5*$F149*$G149*$H149*$N149*$AL$12)+(AK149/12*5*$F149*$G149*$H149*$N149*$AL$13)</f>
        <v>25933300.398656003</v>
      </c>
      <c r="AM149" s="132"/>
      <c r="AN149" s="123">
        <f>(AM149/12*2*$E149*$G149*$H149*$N149*$AN$11)+(AM149/12*10*$F149*$G149*$H149*$N149*$AN$12)</f>
        <v>0</v>
      </c>
      <c r="AO149" s="130"/>
      <c r="AP149" s="127">
        <f>(AO149/12*2*$E149*$G149*$H149*$N149*$AP$11)+(AO149/12*10*$F149*$G149*$H149*$N149*$AP$11)</f>
        <v>0</v>
      </c>
      <c r="AQ149" s="127">
        <v>0</v>
      </c>
      <c r="AR149" s="127">
        <v>0</v>
      </c>
      <c r="AS149" s="123"/>
      <c r="AT149" s="123">
        <f>(AS149/12*2*$E149*$G149*$H149*$M149*$AT$11)+(AS149/12*10*$F149*$G149*$H149*$M149*$AT$11)</f>
        <v>0</v>
      </c>
      <c r="AU149" s="123"/>
      <c r="AV149" s="126">
        <f>(AU149/12*2*$E149*$G149*$H149*$M149*$AV$11)+(AU149/12*10*$F149*$G149*$H149*$M149*$AV$12)</f>
        <v>0</v>
      </c>
      <c r="AW149" s="123"/>
      <c r="AX149" s="123">
        <f>(AW149/12*2*$E149*$G149*$H149*$M149*$AX$11)+(AW149/12*10*$F149*$G149*$H149*$M149*$AX$12)</f>
        <v>0</v>
      </c>
      <c r="AY149" s="123">
        <v>0</v>
      </c>
      <c r="AZ149" s="123">
        <f>(AY149/12*2*$E149*$G149*$H149*$N149*$AZ$11)+(AY149/12*10*$F149*$G149*$H149*$N149*$AZ$11)</f>
        <v>0</v>
      </c>
      <c r="BA149" s="123"/>
      <c r="BB149" s="123">
        <f>(BA149/12*2*$E149*$G149*$H149*$N149*$BB$11)+(BA149/12*10*$F149*$G149*$H149*$N149*$BB$12)</f>
        <v>0</v>
      </c>
      <c r="BC149" s="123"/>
      <c r="BD149" s="126">
        <f>(BC149/12*2*$E149*$G149*$H149*$N149*$BD$11)+(BC149/12*10*$F149*$G149*$H149*$N149*$BD$12)</f>
        <v>0</v>
      </c>
      <c r="BE149" s="123">
        <v>3</v>
      </c>
      <c r="BF149" s="123">
        <f>(BE149/12*10*$F149*$G149*$H149*$N149*$BF$12)</f>
        <v>408047.304</v>
      </c>
      <c r="BG149" s="123"/>
      <c r="BH149" s="123">
        <f>(BG149/12*2*$E149*$G149*$H149*$N149*$BH$11)+(BG149/12*10*$F149*$G149*$H149*$N149*$BH$11)</f>
        <v>0</v>
      </c>
      <c r="BI149" s="123"/>
      <c r="BJ149" s="126">
        <f>(BI149/12*2*$E149*$G149*$H149*$N149*$BJ$11)+(BI149/12*10*$F149*$G149*$H149*$N149*$BJ$11)</f>
        <v>0</v>
      </c>
      <c r="BK149" s="123"/>
      <c r="BL149" s="127">
        <f>(BK149/12*2*$E149*$G149*$H149*$N149*$BL$11)+(BK149/12*10*$F149*$G149*$H149*$N149*$BL$11)</f>
        <v>0</v>
      </c>
      <c r="BM149" s="123"/>
      <c r="BN149" s="123">
        <f>(BM149/12*2*$E149*$G149*$H149*$M149*$BN$11)+(BM149/12*10*$F149*$G149*$H149*$M149*$BN$11)</f>
        <v>0</v>
      </c>
      <c r="BO149" s="123"/>
      <c r="BP149" s="123">
        <f>(BO149/12*2*$E149*$G149*$H149*$M149*$BP$11)+(BO149/12*10*$F149*$G149*$H149*$M149*$BP$12)</f>
        <v>0</v>
      </c>
      <c r="BQ149" s="123"/>
      <c r="BR149" s="123">
        <f>(BQ149/12*2*$E149*$G149*$H149*$M149*$BR$11)+(BQ149/12*10*$F149*$G149*$H149*$M149*$BR$11)</f>
        <v>0</v>
      </c>
      <c r="BS149" s="123">
        <v>0</v>
      </c>
      <c r="BT149" s="123">
        <f>(BS149/12*2*$E149*$G149*$H149*$N149*$BT$11)+(BS149/12*10*$F149*$G149*$H149*$N149*$BT$11)</f>
        <v>0</v>
      </c>
      <c r="BU149" s="123"/>
      <c r="BV149" s="126">
        <f>(BU149/12*2*$E149*$G149*$H149*$M149*$BV$11)+(BU149/12*10*$F149*$G149*$H149*$M149*$BV$11)</f>
        <v>0</v>
      </c>
      <c r="BW149" s="123"/>
      <c r="BX149" s="123">
        <f>(BW149/12*2*$E149*$G149*$H149*$M149*$BX$11)+(BW149/12*10*$F149*$G149*$H149*$M149*$BX$11)</f>
        <v>0</v>
      </c>
      <c r="BY149" s="123"/>
      <c r="BZ149" s="123">
        <f>(BY149/12*2*$E149*$G149*$H149*$M149*$BZ$11)+(BY149/12*10*$F149*$G149*$H149*$M149*$BZ$11)</f>
        <v>0</v>
      </c>
      <c r="CA149" s="123"/>
      <c r="CB149" s="123">
        <f>(CA149/12*2*$E149*$G149*$H149*$M149*$CB$11)+(CA149/12*10*$F149*$G149*$H149*$M149*$CB$11)</f>
        <v>0</v>
      </c>
      <c r="CC149" s="123"/>
      <c r="CD149" s="123">
        <f>(CC149/12*2*$E149*$G149*$H149*$M149*$CD$11)+(CC149/12*10*$F149*$G149*$H149*$M149*$CD$11)</f>
        <v>0</v>
      </c>
      <c r="CE149" s="123">
        <v>5</v>
      </c>
      <c r="CF149" s="123">
        <f>(CE149/12*10*$F149*$G149*$H149*$N149*$CF$11)</f>
        <v>680078.84000000008</v>
      </c>
      <c r="CG149" s="132"/>
      <c r="CH149" s="123">
        <f>(CG149/12*2*$E149*$G149*$H149*$N149*$CH$11)+(CG149/12*10*$F149*$G149*$H149*$N149*$CH$11)</f>
        <v>0</v>
      </c>
      <c r="CI149" s="123"/>
      <c r="CJ149" s="127">
        <f>(CI149*$E149*$G149*$H149*$N149*CJ$11)</f>
        <v>0</v>
      </c>
      <c r="CK149" s="123"/>
      <c r="CL149" s="123">
        <f>(CK149/12*2*$E149*$G149*$H149*$N149*$CL$11)+(CK149/12*10*$F149*$G149*$H149*$N149*$CL$12)</f>
        <v>0</v>
      </c>
      <c r="CM149" s="130"/>
      <c r="CN149" s="123">
        <f>(CM149/12*2*$E149*$G149*$H149*$N149*$CN$11)+(CM149/12*10*$F149*$G149*$H149*$N149*$CN$11)</f>
        <v>0</v>
      </c>
      <c r="CO149" s="123"/>
      <c r="CP149" s="123">
        <f>(CO149/12*2*$E149*$G149*$H149*$N149*$CP$11)+(CO149/12*10*$F149*$G149*$H149*$N149*$CP$11)</f>
        <v>0</v>
      </c>
      <c r="CQ149" s="123"/>
      <c r="CR149" s="123">
        <f>(CQ149/12*2*$E149*$G149*$H149*$O149*$CR$11)+(CQ149/12*10*$F149*$G149*$H149*$O149*$CR$11)</f>
        <v>0</v>
      </c>
      <c r="CS149" s="123">
        <v>1</v>
      </c>
      <c r="CT149" s="133">
        <f>(CS149/12*2*$E149*$G149*$H149*$P149*$CT$11)+(CS149/12*10*$F149*$G149*$H149*$P149*$CT$11)</f>
        <v>247703.37451999998</v>
      </c>
      <c r="CU149" s="127"/>
      <c r="CV149" s="123">
        <f>(CU149*$E149*$G149*$H149*$M149*CV$11)/12*6+(CU149*$E149*$G149*$H149*1*CV$11)/12*6</f>
        <v>0</v>
      </c>
      <c r="CW149" s="126">
        <f t="shared" si="205"/>
        <v>482</v>
      </c>
      <c r="CX149" s="126">
        <f t="shared" si="205"/>
        <v>79070941.461736009</v>
      </c>
    </row>
    <row r="150" spans="1:102" ht="30" customHeight="1" x14ac:dyDescent="0.25">
      <c r="A150" s="91"/>
      <c r="B150" s="116">
        <v>121</v>
      </c>
      <c r="C150" s="117" t="s">
        <v>389</v>
      </c>
      <c r="D150" s="161" t="s">
        <v>390</v>
      </c>
      <c r="E150" s="95">
        <v>28004</v>
      </c>
      <c r="F150" s="96">
        <v>29405</v>
      </c>
      <c r="G150" s="119">
        <v>5.82</v>
      </c>
      <c r="H150" s="110">
        <v>0.9</v>
      </c>
      <c r="I150" s="110">
        <v>0.8</v>
      </c>
      <c r="J150" s="203"/>
      <c r="K150" s="203"/>
      <c r="L150" s="63"/>
      <c r="M150" s="120">
        <v>1.4</v>
      </c>
      <c r="N150" s="120">
        <v>1.68</v>
      </c>
      <c r="O150" s="120">
        <v>2.23</v>
      </c>
      <c r="P150" s="121">
        <v>2.57</v>
      </c>
      <c r="Q150" s="122">
        <v>0</v>
      </c>
      <c r="R150" s="123">
        <f>(Q150/12*2*$E150*$G150*$H150*$M150*$R$11)+(Q150/12*10*$F150*$G150*$I150*$M150*$R$11)</f>
        <v>0</v>
      </c>
      <c r="S150" s="124">
        <v>235</v>
      </c>
      <c r="T150" s="125">
        <f>(S150/12*2*$E150*$G150*$H150*$M150*$R$11)+(S150/12*10*$F150*$G150*$I150*$M150*$R$11)</f>
        <v>50137225.014799997</v>
      </c>
      <c r="U150" s="123">
        <v>0</v>
      </c>
      <c r="V150" s="123">
        <f>(U150/12*2*$E150*$G150*$H150*$M150*$V$11)+(U150/12*10*$F150*$G150*$I150*$M150*$V$12)</f>
        <v>0</v>
      </c>
      <c r="W150" s="123"/>
      <c r="X150" s="126">
        <f>(W150/12*2*$E150*$G150*$H150*$M150*$X$11)+(W150/12*10*$F150*$G150*$I150*$M150*$X$12)</f>
        <v>0</v>
      </c>
      <c r="Y150" s="123"/>
      <c r="Z150" s="123">
        <f>(Y150/12*2*$E150*$G150*$H150*$M150*$Z$11)+(Y150/12*10*$F150*$G150*$I150*$M150*$Z$12)</f>
        <v>0</v>
      </c>
      <c r="AA150" s="123"/>
      <c r="AB150" s="123">
        <f>(AA150/12*2*$E150*$G150*$H150*$M150*$AB$11)+(AA150/12*10*$F150*$G150*$I150*$M150*$AB$11)</f>
        <v>0</v>
      </c>
      <c r="AC150" s="123"/>
      <c r="AD150" s="123"/>
      <c r="AE150" s="123"/>
      <c r="AF150" s="123">
        <f>(AE150/12*2*$E150*$G150*$H150*$M150*$AF$11)+(AE150/12*10*$F150*$G150*$I150*$M150*$AF$11)</f>
        <v>0</v>
      </c>
      <c r="AG150" s="123">
        <v>0</v>
      </c>
      <c r="AH150" s="126">
        <f>(AG150/12*2*$E150*$G150*$H150*$M150*$AH$11)+(AG150/12*10*$F150*$G150*$I150*$M150*$AH$11)</f>
        <v>0</v>
      </c>
      <c r="AI150" s="123"/>
      <c r="AJ150" s="123">
        <f>(AI150/12*2*$E150*$G150*$H150*$M150*$AJ$11)+(AI150/12*5*$F150*$G150*$I150*$M150*$AJ$12)+(AI150/12*5*$F150*$G150*$I150*$M150*$AJ$13)</f>
        <v>0</v>
      </c>
      <c r="AK150" s="123">
        <v>168</v>
      </c>
      <c r="AL150" s="123">
        <f>(AK150/12*2*$E150*$G150*$H150*$N150*$AL$11)+(AK150/12*5*$F150*$G150*$I150*$N150*$AL$12)+(AK150/12*5*$F150*$G150*$I150*$N150*$AL$13)</f>
        <v>50509570.374143995</v>
      </c>
      <c r="AM150" s="132"/>
      <c r="AN150" s="123">
        <f>(AM150/12*2*$E150*$G150*$H150*$N150*$AN$11)+(AM150/12*10*$F150*$G150*$I150*$N150*$AN$12)</f>
        <v>0</v>
      </c>
      <c r="AO150" s="130"/>
      <c r="AP150" s="127">
        <f>(AO150/12*2*$E150*$G150*$H150*$N150*$AP$11)+(AO150/12*10*$F150*$G150*$I150*$N150*$AP$11)</f>
        <v>0</v>
      </c>
      <c r="AQ150" s="127">
        <v>0</v>
      </c>
      <c r="AR150" s="127">
        <v>0</v>
      </c>
      <c r="AS150" s="123"/>
      <c r="AT150" s="123"/>
      <c r="AU150" s="123"/>
      <c r="AV150" s="126"/>
      <c r="AW150" s="123"/>
      <c r="AX150" s="123">
        <f>(AW150/12*2*$E150*$G150*$H150*$M150*$AX$11)+(AW150/12*10*$F150*$G150*$I150*$M150*$AX$12)</f>
        <v>0</v>
      </c>
      <c r="AY150" s="123">
        <v>4</v>
      </c>
      <c r="AZ150" s="123">
        <f>(AY150/12*2*$E150*$G150*$H150*$N150*$AZ$11)+(AY150/12*10*$F150*$G150*$I150*$N150*$AZ$11)</f>
        <v>1024079.4896640001</v>
      </c>
      <c r="BA150" s="123"/>
      <c r="BB150" s="123">
        <f>(BA150/12*2*$E150*$G150*$H150*$N150*$BB$11)+(BA150/12*10*$F150*$G150*$I150*$N150*$BB$12)</f>
        <v>0</v>
      </c>
      <c r="BC150" s="123"/>
      <c r="BD150" s="126"/>
      <c r="BE150" s="123">
        <v>3</v>
      </c>
      <c r="BF150" s="123">
        <f>(BE150/12*10*$F150*$G150*$I150*$N150*$BF$12)</f>
        <v>575020.65599999996</v>
      </c>
      <c r="BG150" s="123"/>
      <c r="BH150" s="123">
        <f>(BG150/12*2*$E150*$G150*$H150*$N150*$BH$11)+(BG150/12*10*$F150*$G150*$I150*$N150*$BH$11)</f>
        <v>0</v>
      </c>
      <c r="BI150" s="123"/>
      <c r="BJ150" s="126">
        <f>(BI150/12*2*$E150*$G150*$H150*$N150*$BJ$11)+(BI150/12*10*$F150*$G150*$I150*$N150*$BJ$11)</f>
        <v>0</v>
      </c>
      <c r="BK150" s="123"/>
      <c r="BL150" s="127">
        <f>(BK150/12*2*$E150*$G150*$H150*$N150*$BL$11)+(BK150/12*10*$F150*$G150*$I150*$N150*$BL$11)</f>
        <v>0</v>
      </c>
      <c r="BM150" s="123"/>
      <c r="BN150" s="123">
        <f>(BM150/12*2*$E150*$G150*$H150*$M150*$BN$11)+(BM150/12*10*$F150*$G150*$I150*$M150*$BN$11)</f>
        <v>0</v>
      </c>
      <c r="BO150" s="123"/>
      <c r="BP150" s="123">
        <f>(BO150/12*2*$E150*$G150*$H150*$M150*$BP$11)+(BO150/12*10*$F150*$G150*$I150*$M150*$BP$12)</f>
        <v>0</v>
      </c>
      <c r="BQ150" s="123"/>
      <c r="BR150" s="123">
        <f>(BQ150/12*2*$E150*$G150*$H150*$M150*$BR$11)+(BQ150/12*10*$F150*$G150*$I150*$M150*$BR$11)</f>
        <v>0</v>
      </c>
      <c r="BS150" s="123">
        <v>0</v>
      </c>
      <c r="BT150" s="123">
        <f>(BS150/12*2*$E150*$G150*$H150*$N150*$BT$11)+(BS150/12*10*$F150*$G150*$I150*$N150*$BT$11)</f>
        <v>0</v>
      </c>
      <c r="BU150" s="123"/>
      <c r="BV150" s="126">
        <f>(BU150/12*2*$E150*$G150*$H150*$M150*$BV$11)+(BU150/12*10*$F150*$G150*$I150*$M150*$BV$11)</f>
        <v>0</v>
      </c>
      <c r="BW150" s="123"/>
      <c r="BX150" s="123">
        <f>(BW150/12*2*$E150*$G150*$H150*$M150*$BX$11)+(BW150/12*10*$F150*$G150*$I150*$M150*$BX$11)</f>
        <v>0</v>
      </c>
      <c r="BY150" s="123"/>
      <c r="BZ150" s="123">
        <f>(BY150/12*2*$E150*$G150*$H150*$M150*$BZ$11)+(BY150/12*10*$F150*$G150*$I150*$M150*$BZ$11)</f>
        <v>0</v>
      </c>
      <c r="CA150" s="123">
        <v>1</v>
      </c>
      <c r="CB150" s="123">
        <f>(CA150/12*2*$E150*$G150*$H150*$M150*$CB$11)+(CA150/12*10*$F150*$G150*$I150*$M150*$CB$11)</f>
        <v>232745.33856</v>
      </c>
      <c r="CC150" s="123"/>
      <c r="CD150" s="123">
        <f>(CC150/12*2*$E150*$G150*$H150*$M150*$CD$11)+(CC150/12*10*$F150*$G150*$I150*$M150*$CD$11)</f>
        <v>0</v>
      </c>
      <c r="CE150" s="123">
        <v>2</v>
      </c>
      <c r="CF150" s="123">
        <f>(CE150/12*10*$F150*$G150*$I150*$N150*$CF$11)</f>
        <v>383347.10399999999</v>
      </c>
      <c r="CG150" s="132"/>
      <c r="CH150" s="123">
        <f>(CG150/12*2*$E150*$G150*$H150*$N150*$CH$11)+(CG150/12*10*$F150*$G150*$I150*$N150*$CH$11)</f>
        <v>0</v>
      </c>
      <c r="CI150" s="123"/>
      <c r="CJ150" s="127"/>
      <c r="CK150" s="123"/>
      <c r="CL150" s="123">
        <f>(CK150/12*2*$E150*$G150*$H150*$N150*$CL$11)+(CK150/12*10*$F150*$G150*$I150*$N150*$CL$12)</f>
        <v>0</v>
      </c>
      <c r="CM150" s="130"/>
      <c r="CN150" s="123">
        <f>(CM150/12*2*$E150*$G150*$H150*$N150*$CN$11)+(CM150/12*10*$F150*$G150*$I150*$N150*$CN$11)</f>
        <v>0</v>
      </c>
      <c r="CO150" s="123"/>
      <c r="CP150" s="123">
        <f>(CO150/12*2*$E150*$G150*$H150*$N150*$CP$11)+(CO150/12*10*$F150*$G150*$I150*$N150*$CP$11)</f>
        <v>0</v>
      </c>
      <c r="CQ150" s="123"/>
      <c r="CR150" s="123">
        <f>(CQ150/12*2*$E150*$G150*$H150*$O150*$CR$11)+(CQ150/12*10*$F150*$G150*$I150*$O150*$CR$11)</f>
        <v>0</v>
      </c>
      <c r="CS150" s="123"/>
      <c r="CT150" s="133">
        <f>(CS150/12*2*$E150*$G150*$H150*$P150*$CT$11)+(CS150/12*10*$F150*$G150*$I150*$P150*$CT$11)</f>
        <v>0</v>
      </c>
      <c r="CU150" s="127"/>
      <c r="CV150" s="123"/>
      <c r="CW150" s="126">
        <f t="shared" si="205"/>
        <v>413</v>
      </c>
      <c r="CX150" s="126">
        <f t="shared" si="205"/>
        <v>102861987.97716799</v>
      </c>
    </row>
    <row r="151" spans="1:102" ht="30" customHeight="1" x14ac:dyDescent="0.25">
      <c r="A151" s="91"/>
      <c r="B151" s="116">
        <v>122</v>
      </c>
      <c r="C151" s="117" t="s">
        <v>391</v>
      </c>
      <c r="D151" s="161" t="s">
        <v>392</v>
      </c>
      <c r="E151" s="95">
        <v>28004</v>
      </c>
      <c r="F151" s="96">
        <v>29405</v>
      </c>
      <c r="G151" s="119">
        <v>1.41</v>
      </c>
      <c r="H151" s="110">
        <v>0.8</v>
      </c>
      <c r="I151" s="108"/>
      <c r="J151" s="108"/>
      <c r="K151" s="108"/>
      <c r="L151" s="63"/>
      <c r="M151" s="120">
        <v>1.4</v>
      </c>
      <c r="N151" s="120">
        <v>1.68</v>
      </c>
      <c r="O151" s="120">
        <v>2.23</v>
      </c>
      <c r="P151" s="121">
        <v>2.57</v>
      </c>
      <c r="Q151" s="122">
        <v>0</v>
      </c>
      <c r="R151" s="123">
        <f>(Q151/12*2*$E151*$G151*$H151*$M151*$R$11)+(Q151/12*10*$F151*$G151*$H151*$M151*$R$11)</f>
        <v>0</v>
      </c>
      <c r="S151" s="124">
        <v>79</v>
      </c>
      <c r="T151" s="125">
        <f>(S151/12*2*$E151*$G151*$H151*$M151*$R$11)+(S151/12*10*$F151*$G151*$H151*$M151*$R$11)</f>
        <v>4003277.2903199997</v>
      </c>
      <c r="U151" s="123">
        <v>1</v>
      </c>
      <c r="V151" s="123">
        <f>(U151/12*2*$E151*$G151*$H151*$M151*$V$11)+(U151/12*10*$F151*$G151*$H151*$M151*$V$12)</f>
        <v>61785.897319999996</v>
      </c>
      <c r="W151" s="123"/>
      <c r="X151" s="126">
        <f>(W151/12*2*$E151*$G151*$H151*$M151*$X$11)+(W151/12*10*$F151*$G151*$H151*$M151*$X$12)</f>
        <v>0</v>
      </c>
      <c r="Y151" s="123"/>
      <c r="Z151" s="123">
        <f>(Y151/12*2*$E151*$G151*$H151*$M151*$Z$11)+(Y151/12*10*$F151*$G151*$H151*$M151*$Z$12)</f>
        <v>0</v>
      </c>
      <c r="AA151" s="123"/>
      <c r="AB151" s="123">
        <f>(AA151/12*2*$E151*$G151*$H151*$M151*$AB$11)+(AA151/12*10*$F151*$G151*$H151*$M151*$AB$11)</f>
        <v>0</v>
      </c>
      <c r="AC151" s="123"/>
      <c r="AD151" s="123"/>
      <c r="AE151" s="123"/>
      <c r="AF151" s="123">
        <f>(AE151/12*2*$E151*$G151*$H151*$M151*$AF$11)+(AE151/12*10*$F151*$G151*$H151*$M151*$AF$11)</f>
        <v>0</v>
      </c>
      <c r="AG151" s="123">
        <v>0</v>
      </c>
      <c r="AH151" s="126">
        <f>(AG151/12*2*$E151*$G151*$H151*$M151*$AH$11)+(AG151/12*10*$F151*$G151*$H151*$M151*$AH$11)</f>
        <v>0</v>
      </c>
      <c r="AI151" s="123"/>
      <c r="AJ151" s="123">
        <f>(AI151/12*2*$E151*$G151*$H151*$M151*$AJ$11)+(AI151/12*5*$F151*$G151*$H151*$M151*$AJ$12)+(AI151/12*5*$F151*$G151*$H151*$M151*$AJ$13)</f>
        <v>0</v>
      </c>
      <c r="AK151" s="123">
        <v>5</v>
      </c>
      <c r="AL151" s="123">
        <f>(AK151/12*2*$E151*$G151*$H151*$N151*$AL$11)+(AK151/12*5*$F151*$G151*$H151*$N151*$AL$12)+(AK151/12*5*$F151*$G151*$H151*$N151*$AL$13)</f>
        <v>357005.71704000002</v>
      </c>
      <c r="AM151" s="132"/>
      <c r="AN151" s="123">
        <f>(AM151/12*2*$E151*$G151*$H151*$N151*$AN$11)+(AM151/12*10*$F151*$G151*$H151*$N151*$AN$12)</f>
        <v>0</v>
      </c>
      <c r="AO151" s="130"/>
      <c r="AP151" s="127">
        <f>(AO151/12*2*$E151*$G151*$H151*$N151*$AP$11)+(AO151/12*10*$F151*$G151*$H151*$N151*$AP$11)</f>
        <v>0</v>
      </c>
      <c r="AQ151" s="127">
        <v>0</v>
      </c>
      <c r="AR151" s="127">
        <v>0</v>
      </c>
      <c r="AS151" s="123"/>
      <c r="AT151" s="123">
        <f>(AS151/12*2*$E151*$G151*$H151*$M151*$AT$11)+(AS151/12*10*$F151*$G151*$H151*$M151*$AT$11)</f>
        <v>0</v>
      </c>
      <c r="AU151" s="123"/>
      <c r="AV151" s="126">
        <f>(AU151/12*2*$E151*$G151*$H151*$M151*$AV$11)+(AU151/12*10*$F151*$G151*$H151*$M151*$AV$12)</f>
        <v>0</v>
      </c>
      <c r="AW151" s="123"/>
      <c r="AX151" s="123">
        <f>(AW151/12*2*$E151*$G151*$H151*$M151*$AX$11)+(AW151/12*10*$F151*$G151*$H151*$M151*$AX$12)</f>
        <v>0</v>
      </c>
      <c r="AY151" s="123">
        <v>0</v>
      </c>
      <c r="AZ151" s="123">
        <f>(AY151/12*2*$E151*$G151*$H151*$N151*$AZ$11)+(AY151/12*10*$F151*$G151*$H151*$N151*$AZ$11)</f>
        <v>0</v>
      </c>
      <c r="BA151" s="123"/>
      <c r="BB151" s="123">
        <f>(BA151/12*2*$E151*$G151*$H151*$N151*$BB$11)+(BA151/12*10*$F151*$G151*$H151*$N151*$BB$12)</f>
        <v>0</v>
      </c>
      <c r="BC151" s="123"/>
      <c r="BD151" s="126">
        <f>(BC151/12*2*$E151*$G151*$H151*$N151*$BD$11)+(BC151/12*10*$F151*$G151*$H151*$N151*$BD$12)</f>
        <v>0</v>
      </c>
      <c r="BE151" s="123"/>
      <c r="BF151" s="123">
        <f>(BE151/12*10*$F151*$G151*$H151*$N151*$BF$12)</f>
        <v>0</v>
      </c>
      <c r="BG151" s="123"/>
      <c r="BH151" s="123">
        <f>(BG151/12*2*$E151*$G151*$H151*$N151*$BH$11)+(BG151/12*10*$F151*$G151*$H151*$N151*$BH$11)</f>
        <v>0</v>
      </c>
      <c r="BI151" s="123"/>
      <c r="BJ151" s="126">
        <f>(BI151/12*2*$E151*$G151*$H151*$N151*$BJ$11)+(BI151/12*10*$F151*$G151*$H151*$N151*$BJ$11)</f>
        <v>0</v>
      </c>
      <c r="BK151" s="123"/>
      <c r="BL151" s="127">
        <f>(BK151/12*2*$E151*$G151*$H151*$N151*$BL$11)+(BK151/12*10*$F151*$G151*$H151*$N151*$BL$11)</f>
        <v>0</v>
      </c>
      <c r="BM151" s="123"/>
      <c r="BN151" s="123">
        <f>(BM151/12*2*$E151*$G151*$H151*$M151*$BN$11)+(BM151/12*10*$F151*$G151*$H151*$M151*$BN$11)</f>
        <v>0</v>
      </c>
      <c r="BO151" s="123"/>
      <c r="BP151" s="123">
        <f>(BO151/12*2*$E151*$G151*$H151*$M151*$BP$11)+(BO151/12*10*$F151*$G151*$H151*$M151*$BP$12)</f>
        <v>0</v>
      </c>
      <c r="BQ151" s="123"/>
      <c r="BR151" s="123">
        <f>(BQ151/12*2*$E151*$G151*$H151*$M151*$BR$11)+(BQ151/12*10*$F151*$G151*$H151*$M151*$BR$11)</f>
        <v>0</v>
      </c>
      <c r="BS151" s="123">
        <v>0</v>
      </c>
      <c r="BT151" s="123">
        <f>(BS151/12*2*$E151*$G151*$H151*$N151*$BT$11)+(BS151/12*10*$F151*$G151*$H151*$N151*$BT$11)</f>
        <v>0</v>
      </c>
      <c r="BU151" s="123"/>
      <c r="BV151" s="126">
        <f>(BU151/12*2*$E151*$G151*$H151*$M151*$BV$11)+(BU151/12*10*$F151*$G151*$H151*$M151*$BV$11)</f>
        <v>0</v>
      </c>
      <c r="BW151" s="123"/>
      <c r="BX151" s="123">
        <f>(BW151/12*2*$E151*$G151*$H151*$M151*$BX$11)+(BW151/12*10*$F151*$G151*$H151*$M151*$BX$11)</f>
        <v>0</v>
      </c>
      <c r="BY151" s="123"/>
      <c r="BZ151" s="123">
        <f>(BY151/12*2*$E151*$G151*$H151*$M151*$BZ$11)+(BY151/12*10*$F151*$G151*$H151*$M151*$BZ$11)</f>
        <v>0</v>
      </c>
      <c r="CA151" s="123"/>
      <c r="CB151" s="123">
        <f>(CA151/12*2*$E151*$G151*$H151*$M151*$CB$11)+(CA151/12*10*$F151*$G151*$H151*$M151*$CB$11)</f>
        <v>0</v>
      </c>
      <c r="CC151" s="123"/>
      <c r="CD151" s="123">
        <f>(CC151/12*2*$E151*$G151*$H151*$M151*$CD$11)+(CC151/12*10*$F151*$G151*$H151*$M151*$CD$11)</f>
        <v>0</v>
      </c>
      <c r="CE151" s="123"/>
      <c r="CF151" s="123">
        <f>(CE151/12*10*$F151*$G151*$H151*$N151*$CF$11)</f>
        <v>0</v>
      </c>
      <c r="CG151" s="132"/>
      <c r="CH151" s="123">
        <f>(CG151/12*2*$E151*$G151*$H151*$N151*$CH$11)+(CG151/12*10*$F151*$G151*$H151*$N151*$CH$11)</f>
        <v>0</v>
      </c>
      <c r="CI151" s="123"/>
      <c r="CJ151" s="127">
        <f>(CI151*$E151*$G151*$H151*$N151*CJ$11)</f>
        <v>0</v>
      </c>
      <c r="CK151" s="123"/>
      <c r="CL151" s="123">
        <f>(CK151/12*2*$E151*$G151*$H151*$N151*$CL$11)+(CK151/12*10*$F151*$G151*$H151*$N151*$CL$12)</f>
        <v>0</v>
      </c>
      <c r="CM151" s="130"/>
      <c r="CN151" s="123">
        <f>(CM151/12*2*$E151*$G151*$H151*$N151*$CN$11)+(CM151/12*10*$F151*$G151*$H151*$N151*$CN$11)</f>
        <v>0</v>
      </c>
      <c r="CO151" s="123"/>
      <c r="CP151" s="123">
        <f>(CO151/12*2*$E151*$G151*$H151*$N151*$CP$11)+(CO151/12*10*$F151*$G151*$H151*$N151*$CP$11)</f>
        <v>0</v>
      </c>
      <c r="CQ151" s="123"/>
      <c r="CR151" s="123">
        <f>(CQ151/12*2*$E151*$G151*$H151*$O151*$CR$11)+(CQ151/12*10*$F151*$G151*$H151*$O151*$CR$11)</f>
        <v>0</v>
      </c>
      <c r="CS151" s="123"/>
      <c r="CT151" s="133">
        <f>(CS151/12*2*$E151*$G151*$H151*$P151*$CT$11)+(CS151/12*10*$F151*$G151*$H151*$P151*$CT$11)</f>
        <v>0</v>
      </c>
      <c r="CU151" s="127"/>
      <c r="CV151" s="123">
        <f>(CU151*$E151*$G151*$H151*$M151*CV$11)/12*6+(CU151*$E151*$G151*$H151*1*CV$11)/12*6</f>
        <v>0</v>
      </c>
      <c r="CW151" s="126">
        <f t="shared" si="205"/>
        <v>85</v>
      </c>
      <c r="CX151" s="126">
        <f t="shared" si="205"/>
        <v>4422068.9046799997</v>
      </c>
    </row>
    <row r="152" spans="1:102" ht="30" customHeight="1" x14ac:dyDescent="0.25">
      <c r="A152" s="91"/>
      <c r="B152" s="116">
        <v>123</v>
      </c>
      <c r="C152" s="117" t="s">
        <v>393</v>
      </c>
      <c r="D152" s="161" t="s">
        <v>394</v>
      </c>
      <c r="E152" s="95">
        <v>28004</v>
      </c>
      <c r="F152" s="96">
        <v>29405</v>
      </c>
      <c r="G152" s="119">
        <v>2.19</v>
      </c>
      <c r="H152" s="110">
        <v>0.9</v>
      </c>
      <c r="I152" s="110">
        <v>0.85</v>
      </c>
      <c r="J152" s="203"/>
      <c r="K152" s="203"/>
      <c r="L152" s="63"/>
      <c r="M152" s="120">
        <v>1.4</v>
      </c>
      <c r="N152" s="120">
        <v>1.68</v>
      </c>
      <c r="O152" s="120">
        <v>2.23</v>
      </c>
      <c r="P152" s="121">
        <v>2.57</v>
      </c>
      <c r="Q152" s="122">
        <v>65</v>
      </c>
      <c r="R152" s="123">
        <f>(Q152/12*2*$E152*$G152*$H152*$M152)+(Q152/12*10*$F152*$G152*$I152*$M152)</f>
        <v>4988057.6427500006</v>
      </c>
      <c r="S152" s="124">
        <f>70+10</f>
        <v>80</v>
      </c>
      <c r="T152" s="125">
        <f>(S152/12*2*$E152*$G152*$H152*$M152)+(S152/12*10*$F152*$G152*$I152*$M152)</f>
        <v>6139147.8679999989</v>
      </c>
      <c r="U152" s="123"/>
      <c r="V152" s="123">
        <f>(U152/12*2*$E152*$G152*$H152*$M152)+(U152/12*10*$F152*$G152*$I152*$M152)</f>
        <v>0</v>
      </c>
      <c r="W152" s="123"/>
      <c r="X152" s="123">
        <f>(W152/12*2*$E152*$G152*$H152*$M152)+(W152/12*10*$F152*$G152*$I152*$M152)</f>
        <v>0</v>
      </c>
      <c r="Y152" s="123"/>
      <c r="Z152" s="123">
        <f>(Y152/12*2*$E152*$G152*$H152*$M152)+(Y152/12*10*$F152*$G152*$I152*$M152)</f>
        <v>0</v>
      </c>
      <c r="AA152" s="123"/>
      <c r="AB152" s="123">
        <f>(AA152*$E152*$G152*$H152*$M152)/12*2+(AA152*$F152*$G152*$I152*$M152)/12*10</f>
        <v>0</v>
      </c>
      <c r="AC152" s="123"/>
      <c r="AD152" s="123"/>
      <c r="AE152" s="123"/>
      <c r="AF152" s="123">
        <f>(AE152/12*2*$E152*$G152*$H152*$M152)+(AE152/12*10*$F152*$G152*$I152*$M152)</f>
        <v>0</v>
      </c>
      <c r="AG152" s="123">
        <v>0</v>
      </c>
      <c r="AH152" s="123">
        <f>(AG152/12*2*$E152*$G152*$H152*$M152)+(AG152/12*10*$F152*$G152*$I152*$M152)</f>
        <v>0</v>
      </c>
      <c r="AI152" s="123"/>
      <c r="AJ152" s="123">
        <f>(AI152/12*2*$E152*$G152*$H152*$M152)+(AI152/12*10*$F152*$G152*$I152*$M152)</f>
        <v>0</v>
      </c>
      <c r="AK152" s="123">
        <v>2</v>
      </c>
      <c r="AL152" s="126">
        <f>(AK152/12*2*$E152*$G152*$H152*$N152)+(AK152/12*10*$F152*$G152*$I152*$N152)</f>
        <v>184174.43603999994</v>
      </c>
      <c r="AM152" s="132"/>
      <c r="AN152" s="123">
        <f>(AM152/12*2*$E152*$G152*$H152*$N152)+(AM152/12*10*$F152*$G152*$I152*$N152)</f>
        <v>0</v>
      </c>
      <c r="AO152" s="130"/>
      <c r="AP152" s="123">
        <f>(AO152/12*2*$E152*$G152*$H152*$N152)+(AO152/12*10*$F152*$G152*$I152*$N152)</f>
        <v>0</v>
      </c>
      <c r="AQ152" s="123">
        <v>0</v>
      </c>
      <c r="AR152" s="123">
        <v>0</v>
      </c>
      <c r="AS152" s="123"/>
      <c r="AT152" s="123">
        <f>(AS152*$E152*$G152*$H152*$M152)/12*3+(AS152*$F152*$G152*$I152*$M152)/12*9</f>
        <v>0</v>
      </c>
      <c r="AU152" s="123"/>
      <c r="AV152" s="123"/>
      <c r="AW152" s="123"/>
      <c r="AX152" s="123">
        <f>(AW152/12*2*$E152*$G152*$H152*$M152)+(AW152/12*10*$F152*$G152*$I152*$M152)</f>
        <v>0</v>
      </c>
      <c r="AY152" s="123">
        <v>0</v>
      </c>
      <c r="AZ152" s="123">
        <f>(AY152/12*2*$E152*$G152*$H152*$N152)+(AY152/12*10*$F152*$G152*$I152*$N152)</f>
        <v>0</v>
      </c>
      <c r="BA152" s="123"/>
      <c r="BB152" s="123">
        <f>(BA152/12*2*$E152*$G152*$H152*$N152)+(BA152/12*10*$F152*$G152*$I152*$N152)</f>
        <v>0</v>
      </c>
      <c r="BC152" s="123"/>
      <c r="BD152" s="123">
        <f>(BC152/12*2*$E152*$G152*$H152*$N152)+(BC152/12*10*$F152*$G152*$I152*$N152)</f>
        <v>0</v>
      </c>
      <c r="BE152" s="123"/>
      <c r="BF152" s="123">
        <f>(BE152/12*10*$F152*$G152*$I152*$N152)</f>
        <v>0</v>
      </c>
      <c r="BG152" s="123"/>
      <c r="BH152" s="123">
        <f>(BG152/12*2*$E152*$G152*$H152*$N152)+(BG152/12*10*$F152*$G152*$I152*$N152)</f>
        <v>0</v>
      </c>
      <c r="BI152" s="123"/>
      <c r="BJ152" s="123">
        <f>(BI152/12*2*$E152*$G152*$H152*$N152)+(BI152/12*10*$F152*$G152*$I152*$N152)</f>
        <v>0</v>
      </c>
      <c r="BK152" s="123"/>
      <c r="BL152" s="123">
        <f>(BK152/12*2*$E152*$G152*$H152*$N152)+(BK152/12*10*$F152*$G152*$I152*$N152)</f>
        <v>0</v>
      </c>
      <c r="BM152" s="123"/>
      <c r="BN152" s="123"/>
      <c r="BO152" s="123"/>
      <c r="BP152" s="123">
        <f>(BO152/12*2*$E152*$G152*$H152*$M152)+(BO152/12*10*$F152*$G152*$I152*$M152)</f>
        <v>0</v>
      </c>
      <c r="BQ152" s="123"/>
      <c r="BR152" s="123">
        <f>(BQ152/12*2*$E152*$G152*$H152*$M152)+(BQ152/12*10*$F152*$G152*$I152*$M152)</f>
        <v>0</v>
      </c>
      <c r="BS152" s="123">
        <v>0</v>
      </c>
      <c r="BT152" s="123">
        <f>(BS152/12*2*$E152*$G152*$H152*$N152)+(BS152/12*10*$F152*$G152*$I152*$N152)</f>
        <v>0</v>
      </c>
      <c r="BU152" s="123"/>
      <c r="BV152" s="123">
        <f>(BU152/12*2*$E152*$G152*$H152*$M152)+(BU152/12*10*$F152*$G152*$I152*$M152)</f>
        <v>0</v>
      </c>
      <c r="BW152" s="123"/>
      <c r="BX152" s="123">
        <f>(BW152/12*2*$E152*$G152*$H152*$M152)+(BW152/12*10*$F152*$G152*$I152*$M152)</f>
        <v>0</v>
      </c>
      <c r="BY152" s="123"/>
      <c r="BZ152" s="123">
        <f>(BY152/12*2*$E152*$G152*$H152*$M152)+(BY152/12*10*$F152*$G152*$I152*$M152)</f>
        <v>0</v>
      </c>
      <c r="CA152" s="123"/>
      <c r="CB152" s="123">
        <f>(CA152/12*2*$E152*$G152*$H152*$M152)+(CA152/12*10*$F152*$G152*$I152*$M152)</f>
        <v>0</v>
      </c>
      <c r="CC152" s="123"/>
      <c r="CD152" s="123">
        <f>(CC152/12*2*$E152*$G152*$H152*$M152)+(CC152/12*10*$F152*$G152*$I152*$M152)</f>
        <v>0</v>
      </c>
      <c r="CE152" s="123"/>
      <c r="CF152" s="123">
        <f>(CE152/12*10*$F152*$G152*$I152*$N152)</f>
        <v>0</v>
      </c>
      <c r="CG152" s="132"/>
      <c r="CH152" s="123">
        <f>(CG152/12*2*$E152*$G152*$H152*$N152)+(CG152/12*10*$F152*$G152*$I152*$N152)</f>
        <v>0</v>
      </c>
      <c r="CI152" s="123"/>
      <c r="CJ152" s="127">
        <f>(CI152*$E152*$G152*$H152*$N152)</f>
        <v>0</v>
      </c>
      <c r="CK152" s="123"/>
      <c r="CL152" s="123">
        <f>(CK152/12*2*$E152*$G152*$H152*$N152)+(CK152/12*10*$F152*$G152*$I152*$N152)</f>
        <v>0</v>
      </c>
      <c r="CM152" s="130"/>
      <c r="CN152" s="123">
        <f>(CM152/12*2*$E152*$G152*$H152*$N152)+(CM152/12*10*$F152*$G152*$I152*$N152)</f>
        <v>0</v>
      </c>
      <c r="CO152" s="123"/>
      <c r="CP152" s="123">
        <f>(CO152/12*2*$E152*$G152*$H152*$N152)+(CO152/12*10*$F152*$G152*$I152*$N152)</f>
        <v>0</v>
      </c>
      <c r="CQ152" s="123"/>
      <c r="CR152" s="123">
        <f>(CQ152/12*2*$E152*$G152*$H152*$O152)+(CQ152/12*10*$F152*$G152*$I152*$O152)</f>
        <v>0</v>
      </c>
      <c r="CS152" s="123"/>
      <c r="CT152" s="127">
        <f>(CS152/12*2*$E152*$G152*$H152*$P152)+(CS152/12*10*$F152*$G152*$I152*$P152)</f>
        <v>0</v>
      </c>
      <c r="CU152" s="127"/>
      <c r="CV152" s="127"/>
      <c r="CW152" s="126">
        <f t="shared" si="205"/>
        <v>147</v>
      </c>
      <c r="CX152" s="126">
        <f t="shared" si="205"/>
        <v>11311379.946789999</v>
      </c>
    </row>
    <row r="153" spans="1:102" ht="30" customHeight="1" x14ac:dyDescent="0.25">
      <c r="A153" s="91"/>
      <c r="B153" s="116">
        <v>124</v>
      </c>
      <c r="C153" s="117" t="s">
        <v>395</v>
      </c>
      <c r="D153" s="161" t="s">
        <v>396</v>
      </c>
      <c r="E153" s="95">
        <v>28004</v>
      </c>
      <c r="F153" s="96">
        <v>29405</v>
      </c>
      <c r="G153" s="119">
        <v>2.42</v>
      </c>
      <c r="H153" s="107">
        <v>1</v>
      </c>
      <c r="I153" s="108"/>
      <c r="J153" s="108"/>
      <c r="K153" s="108"/>
      <c r="L153" s="63"/>
      <c r="M153" s="120">
        <v>1.4</v>
      </c>
      <c r="N153" s="120">
        <v>1.68</v>
      </c>
      <c r="O153" s="120">
        <v>2.23</v>
      </c>
      <c r="P153" s="121">
        <v>2.57</v>
      </c>
      <c r="Q153" s="122">
        <v>4</v>
      </c>
      <c r="R153" s="123">
        <f>(Q153/12*2*$E153*$G153*$H153*$M153)+(Q153/12*10*$F153*$G153*$H153*$M153)</f>
        <v>395332.16799999995</v>
      </c>
      <c r="S153" s="124">
        <v>3</v>
      </c>
      <c r="T153" s="125">
        <f>(S153/12*2*$E153*$G153*$H153*$M153)+(S153/12*10*$F153*$G153*$H153*$M153)</f>
        <v>296499.12599999999</v>
      </c>
      <c r="U153" s="123"/>
      <c r="V153" s="123">
        <f>(U153/12*2*$E153*$G153*$H153*$M153)+(U153/12*10*$F153*$G153*$H153*$M153)</f>
        <v>0</v>
      </c>
      <c r="W153" s="123"/>
      <c r="X153" s="123">
        <f>(W153/12*2*$E153*$G153*$H153*$M153)+(W153/12*10*$F153*$G153*$H153*$M153)</f>
        <v>0</v>
      </c>
      <c r="Y153" s="123"/>
      <c r="Z153" s="123">
        <f>(Y153/12*2*$E153*$G153*$H153*$M153)+(Y153/12*10*$F153*$G153*$H153*$M153)</f>
        <v>0</v>
      </c>
      <c r="AA153" s="123"/>
      <c r="AB153" s="123">
        <f>(AA153/12*2*$E153*$G153*$H153*$M153)+(AA153/12*10*$F153*$G153*$H153*$M153)</f>
        <v>0</v>
      </c>
      <c r="AC153" s="123"/>
      <c r="AD153" s="123"/>
      <c r="AE153" s="123"/>
      <c r="AF153" s="123">
        <f>(AE153/12*2*$E153*$G153*$H153*$M153)+(AE153/12*10*$F153*$G153*$H153*$M153)</f>
        <v>0</v>
      </c>
      <c r="AG153" s="123">
        <v>0</v>
      </c>
      <c r="AH153" s="123">
        <f>(AG153/12*2*$E153*$G153*$H153*$M153)+(AG153/12*10*$F153*$G153*$H153*$M153)</f>
        <v>0</v>
      </c>
      <c r="AI153" s="123"/>
      <c r="AJ153" s="123">
        <f>(AI153/12*2*$E153*$G153*$H153*$M153)+(AI153/12*10*$F153*$G153*$H153*$M153)</f>
        <v>0</v>
      </c>
      <c r="AK153" s="123"/>
      <c r="AL153" s="126">
        <f>(AK153/12*2*$E153*$G153*$H153*$N153)+(AK153/12*10*$F153*$G153*$H153*$N153)</f>
        <v>0</v>
      </c>
      <c r="AM153" s="132"/>
      <c r="AN153" s="123">
        <f>(AM153/12*2*$E153*$G153*$H153*$N153)+(AM153/12*10*$F153*$G153*$H153*$N153)</f>
        <v>0</v>
      </c>
      <c r="AO153" s="130"/>
      <c r="AP153" s="123">
        <f>(AO153/12*2*$E153*$G153*$H153*$N153)+(AO153/12*10*$F153*$G153*$H153*$N153)</f>
        <v>0</v>
      </c>
      <c r="AQ153" s="123">
        <v>0</v>
      </c>
      <c r="AR153" s="123">
        <v>0</v>
      </c>
      <c r="AS153" s="123"/>
      <c r="AT153" s="123"/>
      <c r="AU153" s="123"/>
      <c r="AV153" s="123"/>
      <c r="AW153" s="123"/>
      <c r="AX153" s="123">
        <f>(AW153/12*2*$E153*$G153*$H153*$M153)+(AW153/12*10*$F153*$G153*$H153*$M153)</f>
        <v>0</v>
      </c>
      <c r="AY153" s="123">
        <v>0</v>
      </c>
      <c r="AZ153" s="123">
        <f>(AY153/12*2*$E153*$G153*$H153*$N153)+(AY153/12*10*$F153*$G153*$H153*$N153)</f>
        <v>0</v>
      </c>
      <c r="BA153" s="123"/>
      <c r="BB153" s="123">
        <f>(BA153/12*2*$E153*$G153*$H153*$N153)+(BA153/12*10*$F153*$G153*$H153*$N153)</f>
        <v>0</v>
      </c>
      <c r="BC153" s="123"/>
      <c r="BD153" s="123">
        <f>(BC153/12*2*$E153*$G153*$H153*$N153)+(BC153/12*10*$F153*$G153*$H153*$N153)</f>
        <v>0</v>
      </c>
      <c r="BE153" s="123"/>
      <c r="BF153" s="123">
        <f>(BE153/12*10*$F153*$G153*$H153*$N153)</f>
        <v>0</v>
      </c>
      <c r="BG153" s="123"/>
      <c r="BH153" s="123">
        <f>(BG153/12*2*$E153*$G153*$H153*$N153)+(BG153/12*10*$F153*$G153*$H153*$N153)</f>
        <v>0</v>
      </c>
      <c r="BI153" s="123"/>
      <c r="BJ153" s="123">
        <f>(BI153/12*2*$E153*$G153*$H153*$N153)+(BI153/12*10*$F153*$G153*$H153*$N153)</f>
        <v>0</v>
      </c>
      <c r="BK153" s="123"/>
      <c r="BL153" s="123">
        <f>(BK153/12*2*$E153*$G153*$H153*$N153)+(BK153/12*10*$F153*$G153*$H153*$N153)</f>
        <v>0</v>
      </c>
      <c r="BM153" s="123"/>
      <c r="BN153" s="123">
        <f>(BM153/12*2*$E153*$G153*$H153*$M153)+(BM153/12*10*$F153*$G153*$H153*$M153)</f>
        <v>0</v>
      </c>
      <c r="BO153" s="123"/>
      <c r="BP153" s="123">
        <f>(BO153/12*2*$E153*$G153*$H153*$M153)+(BO153/12*10*$F153*$G153*$H153*$M153)</f>
        <v>0</v>
      </c>
      <c r="BQ153" s="123"/>
      <c r="BR153" s="123">
        <f>(BQ153/12*2*$E153*$G153*$H153*$M153)+(BQ153/12*10*$F153*$G153*$H153*$M153)</f>
        <v>0</v>
      </c>
      <c r="BS153" s="123">
        <v>0</v>
      </c>
      <c r="BT153" s="123">
        <f>(BS153/12*2*$E153*$G153*$H153*$N153)+(BS153/12*10*$F153*$G153*$H153*$N153)</f>
        <v>0</v>
      </c>
      <c r="BU153" s="123"/>
      <c r="BV153" s="123">
        <f>(BU153/12*2*$E153*$G153*$H153*$M153)+(BU153/12*10*$F153*$G153*$H153*$M153)</f>
        <v>0</v>
      </c>
      <c r="BW153" s="123"/>
      <c r="BX153" s="123">
        <f>(BW153/12*2*$E153*$G153*$H153*$M153)+(BW153/12*10*$F153*$G153*$H153*$M153)</f>
        <v>0</v>
      </c>
      <c r="BY153" s="123"/>
      <c r="BZ153" s="123">
        <f>(BY153/12*2*$E153*$G153*$H153*$M153)+(BY153/12*10*$F153*$G153*$H153*$M153)</f>
        <v>0</v>
      </c>
      <c r="CA153" s="123"/>
      <c r="CB153" s="123">
        <f>(CA153/12*2*$E153*$G153*$H153*$M153)+(CA153/12*10*$F153*$G153*$H153*$M153)</f>
        <v>0</v>
      </c>
      <c r="CC153" s="123"/>
      <c r="CD153" s="123">
        <f>(CC153/12*2*$E153*$G153*$H153*$M153)+(CC153/12*10*$F153*$G153*$H153*$M153)</f>
        <v>0</v>
      </c>
      <c r="CE153" s="123"/>
      <c r="CF153" s="123">
        <f>(CE153/12*10*$F153*$G153*$H153*$N153)</f>
        <v>0</v>
      </c>
      <c r="CG153" s="132"/>
      <c r="CH153" s="123">
        <f>(CG153/12*2*$E153*$G153*$H153*$N153)+(CG153/12*10*$F153*$G153*$H153*$N153)</f>
        <v>0</v>
      </c>
      <c r="CI153" s="123"/>
      <c r="CJ153" s="127">
        <f>(CI153*$E153*$G153*$H153*$N153)</f>
        <v>0</v>
      </c>
      <c r="CK153" s="123"/>
      <c r="CL153" s="123">
        <f>(CK153/12*2*$E153*$G153*$H153*$N153)+(CK153/12*10*$F153*$G153*$H153*$N153)</f>
        <v>0</v>
      </c>
      <c r="CM153" s="130"/>
      <c r="CN153" s="123">
        <f>(CM153/12*2*$E153*$G153*$H153*$N153)+(CM153/12*10*$F153*$G153*$H153*$N153)</f>
        <v>0</v>
      </c>
      <c r="CO153" s="123"/>
      <c r="CP153" s="123">
        <f>(CO153/12*2*$E153*$G153*$H153*$N153)+(CO153/12*10*$F153*$G153*$H153*$N153)</f>
        <v>0</v>
      </c>
      <c r="CQ153" s="123"/>
      <c r="CR153" s="123">
        <f>(CQ153/12*2*$E153*$G153*$H153*$O153)+(CQ153/12*10*$F153*$G153*$H153*$O153)</f>
        <v>0</v>
      </c>
      <c r="CS153" s="123"/>
      <c r="CT153" s="127">
        <f>(CS153/12*2*$E153*$G153*$H153*$P153)+(CS153/12*10*$F153*$G153*$H153*$P153)</f>
        <v>0</v>
      </c>
      <c r="CU153" s="127"/>
      <c r="CV153" s="127"/>
      <c r="CW153" s="126">
        <f t="shared" si="205"/>
        <v>7</v>
      </c>
      <c r="CX153" s="126">
        <f t="shared" si="205"/>
        <v>691831.29399999999</v>
      </c>
    </row>
    <row r="154" spans="1:102" ht="30" customHeight="1" x14ac:dyDescent="0.25">
      <c r="A154" s="91"/>
      <c r="B154" s="116">
        <v>125</v>
      </c>
      <c r="C154" s="117" t="s">
        <v>397</v>
      </c>
      <c r="D154" s="161" t="s">
        <v>398</v>
      </c>
      <c r="E154" s="95">
        <v>28004</v>
      </c>
      <c r="F154" s="96">
        <v>29405</v>
      </c>
      <c r="G154" s="120">
        <v>1.02</v>
      </c>
      <c r="H154" s="110">
        <v>0.9</v>
      </c>
      <c r="I154" s="108"/>
      <c r="J154" s="108"/>
      <c r="K154" s="108"/>
      <c r="L154" s="63"/>
      <c r="M154" s="120">
        <v>1.4</v>
      </c>
      <c r="N154" s="120">
        <v>1.68</v>
      </c>
      <c r="O154" s="120">
        <v>2.23</v>
      </c>
      <c r="P154" s="121">
        <v>2.57</v>
      </c>
      <c r="Q154" s="122">
        <v>6</v>
      </c>
      <c r="R154" s="123">
        <f>(Q154/12*2*$E154*$G154*$H154*$M154*$R$11)+(Q154/12*10*$F154*$G154*$H154*$M154*$R$11)</f>
        <v>247441.99788000004</v>
      </c>
      <c r="S154" s="124">
        <v>78</v>
      </c>
      <c r="T154" s="125">
        <f>(S154/12*2*$E154*$G154*$H154*$M154*$R$11)+(S154/12*10*$F154*$G154*$H154*$M154*$R$11)</f>
        <v>3216745.9724400002</v>
      </c>
      <c r="U154" s="123">
        <v>3</v>
      </c>
      <c r="V154" s="123">
        <f>(U154/12*2*$E154*$G154*$H154*$M154*$V$11)+(U154/12*10*$F154*$G154*$H154*$M154*$V$12)</f>
        <v>150849.61100999999</v>
      </c>
      <c r="W154" s="123"/>
      <c r="X154" s="126">
        <f>(W154/12*2*$E154*$G154*$H154*$M154*$X$11)+(W154/12*10*$F154*$G154*$H154*$M154*$X$12)</f>
        <v>0</v>
      </c>
      <c r="Y154" s="123">
        <v>5</v>
      </c>
      <c r="Z154" s="123">
        <f>(Y154/12*2*$E154*$G154*$H154*$M154*$Z$11)+(Y154/12*10*$F154*$G154*$H154*$M154*$Z$12)</f>
        <v>251416.01835000003</v>
      </c>
      <c r="AA154" s="123"/>
      <c r="AB154" s="123">
        <f>(AA154/12*2*$E154*$G154*$H154*$M154*$AB$11)+(AA154/12*10*$F154*$G154*$H154*$M154*$AB$11)</f>
        <v>0</v>
      </c>
      <c r="AC154" s="123"/>
      <c r="AD154" s="123"/>
      <c r="AE154" s="123"/>
      <c r="AF154" s="123">
        <f>(AE154/12*2*$E154*$G154*$H154*$M154*$AF$11)+(AE154/12*10*$F154*$G154*$H154*$M154*$AF$11)</f>
        <v>0</v>
      </c>
      <c r="AG154" s="123">
        <v>0</v>
      </c>
      <c r="AH154" s="126">
        <f>(AG154/12*2*$E154*$G154*$H154*$M154*$AH$11)+(AG154/12*10*$F154*$G154*$H154*$M154*$AH$11)</f>
        <v>0</v>
      </c>
      <c r="AI154" s="123"/>
      <c r="AJ154" s="123">
        <f>(AI154/12*2*$E154*$G154*$H154*$M154*$AJ$11)+(AI154/12*5*$F154*$G154*$H154*$M154*$AJ$12)+(AI154/12*5*$F154*$G154*$H154*$M154*$AJ$13)</f>
        <v>0</v>
      </c>
      <c r="AK154" s="123">
        <v>34</v>
      </c>
      <c r="AL154" s="123">
        <f>(AK154/12*2*$E154*$G154*$H154*$N154*$AL$11)+(AK154/12*5*$F154*$G154*$H154*$N154*$AL$12)+(AK154/12*5*$F154*$G154*$H154*$N154*$AL$13)</f>
        <v>1975684.8298320007</v>
      </c>
      <c r="AM154" s="132"/>
      <c r="AN154" s="123">
        <f>(AM154/12*2*$E154*$G154*$H154*$N154*$AN$11)+(AM154/12*10*$F154*$G154*$H154*$N154*$AN$12)</f>
        <v>0</v>
      </c>
      <c r="AO154" s="130"/>
      <c r="AP154" s="127">
        <f>(AO154/12*2*$E154*$G154*$H154*$N154*$AP$11)+(AO154/12*10*$F154*$G154*$H154*$N154*$AP$11)</f>
        <v>0</v>
      </c>
      <c r="AQ154" s="127">
        <v>0</v>
      </c>
      <c r="AR154" s="127">
        <v>0</v>
      </c>
      <c r="AS154" s="123"/>
      <c r="AT154" s="123">
        <f>(AS154/12*2*$E154*$G154*$H154*$M154*$AT$11)+(AS154/12*10*$F154*$G154*$H154*$M154*$AT$11)</f>
        <v>0</v>
      </c>
      <c r="AU154" s="123"/>
      <c r="AV154" s="126">
        <f>(AU154/12*2*$E154*$G154*$H154*$M154*$AV$11)+(AU154/12*10*$F154*$G154*$H154*$M154*$AV$12)</f>
        <v>0</v>
      </c>
      <c r="AW154" s="123"/>
      <c r="AX154" s="123">
        <f>(AW154/12*2*$E154*$G154*$H154*$M154*$AX$11)+(AW154/12*10*$F154*$G154*$H154*$M154*$AX$12)</f>
        <v>0</v>
      </c>
      <c r="AY154" s="123">
        <v>12</v>
      </c>
      <c r="AZ154" s="123">
        <f>(AY154/12*2*$E154*$G154*$H154*$N154*$AZ$11)+(AY154/12*10*$F154*$G154*$H154*$N154*$AZ$11)</f>
        <v>593860.79491200007</v>
      </c>
      <c r="BA154" s="123"/>
      <c r="BB154" s="123">
        <f>(BA154/12*2*$E154*$G154*$H154*$N154*$BB$11)+(BA154/12*10*$F154*$G154*$H154*$N154*$BB$12)</f>
        <v>0</v>
      </c>
      <c r="BC154" s="123"/>
      <c r="BD154" s="126">
        <f>(BC154/12*2*$E154*$G154*$H154*$N154*$BD$11)+(BC154/12*10*$F154*$G154*$H154*$N154*$BD$12)</f>
        <v>0</v>
      </c>
      <c r="BE154" s="123"/>
      <c r="BF154" s="123">
        <f>(BE154/12*10*$F154*$G154*$H154*$N154*$BF$12)</f>
        <v>0</v>
      </c>
      <c r="BG154" s="123"/>
      <c r="BH154" s="123">
        <f>(BG154/12*2*$E154*$G154*$H154*$N154*$BH$11)+(BG154/12*10*$F154*$G154*$H154*$N154*$BH$11)</f>
        <v>0</v>
      </c>
      <c r="BI154" s="123"/>
      <c r="BJ154" s="126">
        <f>(BI154/12*2*$E154*$G154*$H154*$N154*$BJ$11)+(BI154/12*10*$F154*$G154*$H154*$N154*$BJ$11)</f>
        <v>0</v>
      </c>
      <c r="BK154" s="123">
        <v>2</v>
      </c>
      <c r="BL154" s="127">
        <f>(BK154/12*2*$E154*$G154*$H154*$N154*$BL$11)+(BK154/12*10*$F154*$G154*$H154*$N154*$BL$11)</f>
        <v>107974.689984</v>
      </c>
      <c r="BM154" s="123"/>
      <c r="BN154" s="123">
        <f>(BM154/12*2*$E154*$G154*$H154*$M154*$BN$11)+(BM154/12*10*$F154*$G154*$H154*$M154*$BN$11)</f>
        <v>0</v>
      </c>
      <c r="BO154" s="123"/>
      <c r="BP154" s="123">
        <f>(BO154/12*2*$E154*$G154*$H154*$M154*$BP$11)+(BO154/12*10*$F154*$G154*$H154*$M154*$BP$12)</f>
        <v>0</v>
      </c>
      <c r="BQ154" s="123"/>
      <c r="BR154" s="123">
        <f>(BQ154/12*2*$E154*$G154*$H154*$M154*$BR$11)+(BQ154/12*10*$F154*$G154*$H154*$M154*$BR$11)</f>
        <v>0</v>
      </c>
      <c r="BS154" s="123">
        <v>0</v>
      </c>
      <c r="BT154" s="123">
        <f>(BS154/12*2*$E154*$G154*$H154*$N154*$BT$11)+(BS154/12*10*$F154*$G154*$H154*$N154*$BT$11)</f>
        <v>0</v>
      </c>
      <c r="BU154" s="123"/>
      <c r="BV154" s="126">
        <f>(BU154/12*2*$E154*$G154*$H154*$M154*$BV$11)+(BU154/12*10*$F154*$G154*$H154*$M154*$BV$11)</f>
        <v>0</v>
      </c>
      <c r="BW154" s="123"/>
      <c r="BX154" s="123">
        <f>(BW154/12*2*$E154*$G154*$H154*$M154*$BX$11)+(BW154/12*10*$F154*$G154*$H154*$M154*$BX$11)</f>
        <v>0</v>
      </c>
      <c r="BY154" s="123"/>
      <c r="BZ154" s="123">
        <f>(BY154/12*2*$E154*$G154*$H154*$M154*$BZ$11)+(BY154/12*10*$F154*$G154*$H154*$M154*$BZ$11)</f>
        <v>0</v>
      </c>
      <c r="CA154" s="123"/>
      <c r="CB154" s="123">
        <f>(CA154/12*2*$E154*$G154*$H154*$M154*$CB$11)+(CA154/12*10*$F154*$G154*$H154*$M154*$CB$11)</f>
        <v>0</v>
      </c>
      <c r="CC154" s="123"/>
      <c r="CD154" s="123">
        <f>(CC154/12*2*$E154*$G154*$H154*$M154*$CD$11)+(CC154/12*10*$F154*$G154*$H154*$M154*$CD$11)</f>
        <v>0</v>
      </c>
      <c r="CE154" s="123"/>
      <c r="CF154" s="123">
        <f>(CE154/12*10*$F154*$G154*$H154*$N154*$CF$11)</f>
        <v>0</v>
      </c>
      <c r="CG154" s="132"/>
      <c r="CH154" s="123">
        <f>(CG154/12*2*$E154*$G154*$H154*$N154*$CH$11)+(CG154/12*10*$F154*$G154*$H154*$N154*$CH$11)</f>
        <v>0</v>
      </c>
      <c r="CI154" s="123"/>
      <c r="CJ154" s="127">
        <f>(CI154*$E154*$G154*$H154*$N154*CJ$11)</f>
        <v>0</v>
      </c>
      <c r="CK154" s="123"/>
      <c r="CL154" s="123">
        <f>(CK154/12*2*$E154*$G154*$H154*$N154*$CL$11)+(CK154/12*10*$F154*$G154*$H154*$N154*$CL$12)</f>
        <v>0</v>
      </c>
      <c r="CM154" s="130"/>
      <c r="CN154" s="123">
        <f>(CM154/12*2*$E154*$G154*$H154*$N154*$CN$11)+(CM154/12*10*$F154*$G154*$H154*$N154*$CN$11)</f>
        <v>0</v>
      </c>
      <c r="CO154" s="123"/>
      <c r="CP154" s="123">
        <f>(CO154/12*2*$E154*$G154*$H154*$N154*$CP$11)+(CO154/12*10*$F154*$G154*$H154*$N154*$CP$11)</f>
        <v>0</v>
      </c>
      <c r="CQ154" s="123"/>
      <c r="CR154" s="123">
        <f>(CQ154/12*2*$E154*$G154*$H154*$O154*$CR$11)+(CQ154/12*10*$F154*$G154*$H154*$O154*$CR$11)</f>
        <v>0</v>
      </c>
      <c r="CS154" s="123"/>
      <c r="CT154" s="133">
        <f>(CS154/12*2*$E154*$G154*$H154*$P154*$CT$11)+(CS154/12*10*$F154*$G154*$H154*$P154*$CT$11)</f>
        <v>0</v>
      </c>
      <c r="CU154" s="127"/>
      <c r="CV154" s="123">
        <f>(CU154*$E154*$G154*$H154*$M154*CV$11)/12*6+(CU154*$E154*$G154*$H154*1*CV$11)/12*6</f>
        <v>0</v>
      </c>
      <c r="CW154" s="126">
        <f>SUM(Q154,S154,U154,W154,Y154,AA154,AC154,AE154,AG154,AM154,BQ154,AI154,AU154,CC154,AW154,AY154,AK154,BC154,AO154,AQ154,BE154,CE154,BG154,BI154,BK154,BS154,BM154,BO154,BU154,BW154,BY154,CA154,CG154,BA154,AS154,CI154,CK154,CM154,CO154,CQ154,CS154,CU154)</f>
        <v>140</v>
      </c>
      <c r="CX154" s="126">
        <f>SUM(R154,T154,V154,X154,Z154,AB154,AD154,AF154,AH154,AN154,BR154,AJ154,AV154,CD154,AX154,AZ154,AL154,BD154,AP154,AR154,BF154,CF154,BH154,BJ154,BL154,BT154,BN154,BP154,BV154,BX154,BZ154,CB154,CH154,BB154,AT154,CJ154,CL154,CN154,CP154,CR154,CT154,CV154)</f>
        <v>6543973.9144080011</v>
      </c>
    </row>
    <row r="155" spans="1:102" ht="15.75" customHeight="1" x14ac:dyDescent="0.25">
      <c r="A155" s="109">
        <v>17</v>
      </c>
      <c r="B155" s="206"/>
      <c r="C155" s="93" t="s">
        <v>399</v>
      </c>
      <c r="D155" s="164" t="s">
        <v>400</v>
      </c>
      <c r="E155" s="95">
        <v>28004</v>
      </c>
      <c r="F155" s="96">
        <v>29405</v>
      </c>
      <c r="G155" s="151">
        <v>2.96</v>
      </c>
      <c r="H155" s="166"/>
      <c r="I155" s="108"/>
      <c r="J155" s="108"/>
      <c r="K155" s="108"/>
      <c r="L155" s="111"/>
      <c r="M155" s="112">
        <v>1.4</v>
      </c>
      <c r="N155" s="112">
        <v>1.68</v>
      </c>
      <c r="O155" s="112">
        <v>2.23</v>
      </c>
      <c r="P155" s="113">
        <v>2.57</v>
      </c>
      <c r="Q155" s="103">
        <f>SUM(Q156:Q162)</f>
        <v>0</v>
      </c>
      <c r="R155" s="104">
        <f>SUM(R156:R162)</f>
        <v>0</v>
      </c>
      <c r="S155" s="114">
        <f t="shared" ref="S155:CD155" si="206">SUM(S156:S162)</f>
        <v>0</v>
      </c>
      <c r="T155" s="115">
        <f t="shared" si="206"/>
        <v>0</v>
      </c>
      <c r="U155" s="104">
        <f t="shared" si="206"/>
        <v>12</v>
      </c>
      <c r="V155" s="104">
        <f t="shared" si="206"/>
        <v>2167874.329903333</v>
      </c>
      <c r="W155" s="104">
        <f t="shared" si="206"/>
        <v>1511</v>
      </c>
      <c r="X155" s="104">
        <f t="shared" si="206"/>
        <v>412366199.42879659</v>
      </c>
      <c r="Y155" s="104">
        <f t="shared" si="206"/>
        <v>0</v>
      </c>
      <c r="Z155" s="104">
        <f t="shared" si="206"/>
        <v>0</v>
      </c>
      <c r="AA155" s="104">
        <f t="shared" si="206"/>
        <v>0</v>
      </c>
      <c r="AB155" s="104">
        <f t="shared" si="206"/>
        <v>0</v>
      </c>
      <c r="AC155" s="104">
        <f t="shared" si="206"/>
        <v>0</v>
      </c>
      <c r="AD155" s="104">
        <f t="shared" si="206"/>
        <v>0</v>
      </c>
      <c r="AE155" s="104">
        <f t="shared" si="206"/>
        <v>0</v>
      </c>
      <c r="AF155" s="104">
        <f t="shared" si="206"/>
        <v>0</v>
      </c>
      <c r="AG155" s="104">
        <f t="shared" si="206"/>
        <v>0</v>
      </c>
      <c r="AH155" s="104">
        <f t="shared" si="206"/>
        <v>0</v>
      </c>
      <c r="AI155" s="104">
        <f t="shared" si="206"/>
        <v>0</v>
      </c>
      <c r="AJ155" s="104">
        <f t="shared" si="206"/>
        <v>0</v>
      </c>
      <c r="AK155" s="104">
        <f t="shared" si="206"/>
        <v>375</v>
      </c>
      <c r="AL155" s="104">
        <f t="shared" si="206"/>
        <v>136279210.015928</v>
      </c>
      <c r="AM155" s="104">
        <f t="shared" si="206"/>
        <v>0</v>
      </c>
      <c r="AN155" s="104">
        <f t="shared" si="206"/>
        <v>0</v>
      </c>
      <c r="AO155" s="106">
        <f t="shared" si="206"/>
        <v>0</v>
      </c>
      <c r="AP155" s="104">
        <f t="shared" si="206"/>
        <v>0</v>
      </c>
      <c r="AQ155" s="104">
        <v>0</v>
      </c>
      <c r="AR155" s="104">
        <v>0</v>
      </c>
      <c r="AS155" s="104">
        <f t="shared" si="206"/>
        <v>0</v>
      </c>
      <c r="AT155" s="104">
        <f t="shared" si="206"/>
        <v>0</v>
      </c>
      <c r="AU155" s="104">
        <f t="shared" si="206"/>
        <v>0</v>
      </c>
      <c r="AV155" s="104">
        <f t="shared" si="206"/>
        <v>0</v>
      </c>
      <c r="AW155" s="104">
        <f t="shared" si="206"/>
        <v>5</v>
      </c>
      <c r="AX155" s="104">
        <f t="shared" si="206"/>
        <v>456821.26209999993</v>
      </c>
      <c r="AY155" s="104">
        <f t="shared" si="206"/>
        <v>0</v>
      </c>
      <c r="AZ155" s="104">
        <f t="shared" si="206"/>
        <v>0</v>
      </c>
      <c r="BA155" s="104">
        <f t="shared" si="206"/>
        <v>420</v>
      </c>
      <c r="BB155" s="104">
        <f t="shared" si="206"/>
        <v>71713271.604799986</v>
      </c>
      <c r="BC155" s="104">
        <f t="shared" si="206"/>
        <v>0</v>
      </c>
      <c r="BD155" s="104">
        <f t="shared" si="206"/>
        <v>0</v>
      </c>
      <c r="BE155" s="104">
        <f t="shared" si="206"/>
        <v>10</v>
      </c>
      <c r="BF155" s="104">
        <f t="shared" si="206"/>
        <v>1254687.8259999999</v>
      </c>
      <c r="BG155" s="104">
        <f t="shared" si="206"/>
        <v>0</v>
      </c>
      <c r="BH155" s="104">
        <f t="shared" si="206"/>
        <v>0</v>
      </c>
      <c r="BI155" s="104">
        <f t="shared" si="206"/>
        <v>22</v>
      </c>
      <c r="BJ155" s="104">
        <f t="shared" si="206"/>
        <v>5715601.3998719994</v>
      </c>
      <c r="BK155" s="104">
        <f t="shared" si="206"/>
        <v>0</v>
      </c>
      <c r="BL155" s="104">
        <f t="shared" si="206"/>
        <v>0</v>
      </c>
      <c r="BM155" s="104">
        <f t="shared" si="206"/>
        <v>0</v>
      </c>
      <c r="BN155" s="104">
        <f t="shared" si="206"/>
        <v>0</v>
      </c>
      <c r="BO155" s="104">
        <f t="shared" si="206"/>
        <v>47</v>
      </c>
      <c r="BP155" s="104">
        <f t="shared" si="206"/>
        <v>4697711.8005999997</v>
      </c>
      <c r="BQ155" s="104">
        <f t="shared" si="206"/>
        <v>0</v>
      </c>
      <c r="BR155" s="104">
        <f t="shared" si="206"/>
        <v>0</v>
      </c>
      <c r="BS155" s="104">
        <f t="shared" si="206"/>
        <v>13</v>
      </c>
      <c r="BT155" s="104">
        <f t="shared" si="206"/>
        <v>1530719.6200799996</v>
      </c>
      <c r="BU155" s="104">
        <f t="shared" si="206"/>
        <v>0</v>
      </c>
      <c r="BV155" s="104">
        <f t="shared" si="206"/>
        <v>0</v>
      </c>
      <c r="BW155" s="104">
        <f t="shared" si="206"/>
        <v>0</v>
      </c>
      <c r="BX155" s="104">
        <f t="shared" si="206"/>
        <v>0</v>
      </c>
      <c r="BY155" s="104">
        <f t="shared" si="206"/>
        <v>0</v>
      </c>
      <c r="BZ155" s="104">
        <f t="shared" si="206"/>
        <v>0</v>
      </c>
      <c r="CA155" s="104">
        <f t="shared" si="206"/>
        <v>31</v>
      </c>
      <c r="CB155" s="104">
        <f t="shared" si="206"/>
        <v>3473107.4481599992</v>
      </c>
      <c r="CC155" s="104">
        <f t="shared" si="206"/>
        <v>1</v>
      </c>
      <c r="CD155" s="104">
        <f t="shared" si="206"/>
        <v>146370.91839999997</v>
      </c>
      <c r="CE155" s="104">
        <f t="shared" ref="CE155:CX155" si="207">SUM(CE156:CE162)</f>
        <v>7</v>
      </c>
      <c r="CF155" s="104">
        <f t="shared" si="207"/>
        <v>1168813.4639999999</v>
      </c>
      <c r="CG155" s="104">
        <f t="shared" si="207"/>
        <v>0</v>
      </c>
      <c r="CH155" s="104">
        <f t="shared" si="207"/>
        <v>0</v>
      </c>
      <c r="CI155" s="104">
        <f t="shared" si="207"/>
        <v>0</v>
      </c>
      <c r="CJ155" s="104">
        <f t="shared" si="207"/>
        <v>0</v>
      </c>
      <c r="CK155" s="104">
        <f t="shared" si="207"/>
        <v>0</v>
      </c>
      <c r="CL155" s="104">
        <f t="shared" si="207"/>
        <v>0</v>
      </c>
      <c r="CM155" s="104">
        <f t="shared" si="207"/>
        <v>0</v>
      </c>
      <c r="CN155" s="104">
        <f t="shared" si="207"/>
        <v>0</v>
      </c>
      <c r="CO155" s="104">
        <f t="shared" si="207"/>
        <v>0</v>
      </c>
      <c r="CP155" s="104">
        <f t="shared" si="207"/>
        <v>0</v>
      </c>
      <c r="CQ155" s="104">
        <f t="shared" si="207"/>
        <v>0</v>
      </c>
      <c r="CR155" s="104">
        <f t="shared" si="207"/>
        <v>0</v>
      </c>
      <c r="CS155" s="104">
        <f t="shared" si="207"/>
        <v>0</v>
      </c>
      <c r="CT155" s="104">
        <f t="shared" si="207"/>
        <v>0</v>
      </c>
      <c r="CU155" s="104">
        <f t="shared" si="207"/>
        <v>0</v>
      </c>
      <c r="CV155" s="104">
        <f t="shared" si="207"/>
        <v>0</v>
      </c>
      <c r="CW155" s="104">
        <f t="shared" si="207"/>
        <v>2454</v>
      </c>
      <c r="CX155" s="104">
        <f t="shared" si="207"/>
        <v>640970389.11863995</v>
      </c>
    </row>
    <row r="156" spans="1:102" ht="30" customHeight="1" x14ac:dyDescent="0.25">
      <c r="A156" s="277" t="s">
        <v>306</v>
      </c>
      <c r="B156" s="116">
        <v>126</v>
      </c>
      <c r="C156" s="117" t="s">
        <v>401</v>
      </c>
      <c r="D156" s="161" t="s">
        <v>402</v>
      </c>
      <c r="E156" s="95">
        <v>28004</v>
      </c>
      <c r="F156" s="96">
        <v>29405</v>
      </c>
      <c r="G156" s="119">
        <v>4.21</v>
      </c>
      <c r="H156" s="110">
        <v>1.4</v>
      </c>
      <c r="I156" s="110"/>
      <c r="J156" s="110"/>
      <c r="K156" s="110"/>
      <c r="L156" s="63"/>
      <c r="M156" s="120">
        <v>1.4</v>
      </c>
      <c r="N156" s="120">
        <v>1.68</v>
      </c>
      <c r="O156" s="120">
        <v>2.23</v>
      </c>
      <c r="P156" s="121">
        <v>2.57</v>
      </c>
      <c r="Q156" s="122"/>
      <c r="R156" s="123">
        <f t="shared" ref="R156:R162" si="208">(Q156/12*2*$E156*$G156*$H156*$M156*$R$11)+(Q156/12*10*$F156*$G156*$H156*$M156*$R$11)</f>
        <v>0</v>
      </c>
      <c r="S156" s="124"/>
      <c r="T156" s="125">
        <f t="shared" ref="T156:T162" si="209">(S156/12*2*$E156*$G156*$H156*$M156*$R$11)+(S156/12*10*$F156*$G156*$H156*$M156*$R$11)</f>
        <v>0</v>
      </c>
      <c r="U156" s="123"/>
      <c r="V156" s="123">
        <f t="shared" ref="V156:V162" si="210">(U156/12*2*$E156*$G156*$H156*$M156*$V$11)+(U156/12*10*$F156*$G156*$H156*$M156*$V$12)</f>
        <v>0</v>
      </c>
      <c r="W156" s="123">
        <v>487</v>
      </c>
      <c r="X156" s="126">
        <f t="shared" ref="X156:X162" si="211">(W156/12*2*$E156*$G156*$H156*$M156*$X$11)+(W156/12*10*$F156*$G156*$H156*$M156*$X$12)</f>
        <v>157224184.73190331</v>
      </c>
      <c r="Y156" s="123"/>
      <c r="Z156" s="123">
        <f t="shared" ref="Z156:Z162" si="212">(Y156/12*2*$E156*$G156*$H156*$M156*$Z$11)+(Y156/12*10*$F156*$G156*$H156*$M156*$Z$12)</f>
        <v>0</v>
      </c>
      <c r="AA156" s="123"/>
      <c r="AB156" s="123">
        <f t="shared" ref="AB156:AB162" si="213">(AA156/12*2*$E156*$G156*$H156*$M156*$AB$11)+(AA156/12*10*$F156*$G156*$H156*$M156*$AB$11)</f>
        <v>0</v>
      </c>
      <c r="AC156" s="123"/>
      <c r="AD156" s="123"/>
      <c r="AE156" s="123"/>
      <c r="AF156" s="123">
        <f t="shared" ref="AF156:AF162" si="214">(AE156/12*2*$E156*$G156*$H156*$M156*$AF$11)+(AE156/12*10*$F156*$G156*$H156*$M156*$AF$11)</f>
        <v>0</v>
      </c>
      <c r="AG156" s="123"/>
      <c r="AH156" s="126">
        <f t="shared" ref="AH156:AH162" si="215">(AG156/12*2*$E156*$G156*$H156*$M156*$AH$11)+(AG156/12*10*$F156*$G156*$H156*$M156*$AH$11)</f>
        <v>0</v>
      </c>
      <c r="AI156" s="123"/>
      <c r="AJ156" s="123">
        <f t="shared" ref="AJ156:AJ162" si="216">(AI156/12*2*$E156*$G156*$H156*$M156*$AJ$11)+(AI156/12*5*$F156*$G156*$H156*$M156*$AJ$12)+(AI156/12*5*$F156*$G156*$H156*$M156*$AJ$13)</f>
        <v>0</v>
      </c>
      <c r="AK156" s="123">
        <v>209</v>
      </c>
      <c r="AL156" s="123">
        <f t="shared" ref="AL156:AL162" si="217">(AK156/12*2*$E156*$G156*$H156*$N156*$AL$11)+(AK156/12*5*$F156*$G156*$H156*$N156*$AL$12)+(AK156/12*5*$F156*$G156*$H156*$N156*$AL$13)</f>
        <v>77974479.523555994</v>
      </c>
      <c r="AM156" s="132"/>
      <c r="AN156" s="123">
        <f t="shared" ref="AN156:AN162" si="218">(AM156/12*2*$E156*$G156*$H156*$N156*$AN$11)+(AM156/12*10*$F156*$G156*$H156*$N156*$AN$12)</f>
        <v>0</v>
      </c>
      <c r="AO156" s="130"/>
      <c r="AP156" s="127">
        <f t="shared" ref="AP156:AP162" si="219">(AO156/12*2*$E156*$G156*$H156*$N156*$AP$11)+(AO156/12*10*$F156*$G156*$H156*$N156*$AP$11)</f>
        <v>0</v>
      </c>
      <c r="AQ156" s="127">
        <v>0</v>
      </c>
      <c r="AR156" s="127">
        <v>0</v>
      </c>
      <c r="AS156" s="123"/>
      <c r="AT156" s="123">
        <f t="shared" ref="AT156:AT162" si="220">(AS156/12*2*$E156*$G156*$H156*$M156*$AT$11)+(AS156/12*10*$F156*$G156*$H156*$M156*$AT$11)</f>
        <v>0</v>
      </c>
      <c r="AU156" s="123"/>
      <c r="AV156" s="126">
        <f t="shared" ref="AV156:AV162" si="221">(AU156/12*2*$E156*$G156*$H156*$M156*$AV$11)+(AU156/12*10*$F156*$G156*$H156*$M156*$AV$12)</f>
        <v>0</v>
      </c>
      <c r="AW156" s="123"/>
      <c r="AX156" s="123">
        <f t="shared" ref="AX156:AX162" si="222">(AW156/12*2*$E156*$G156*$H156*$M156*$AX$11)+(AW156/12*10*$F156*$G156*$H156*$M156*$AX$12)</f>
        <v>0</v>
      </c>
      <c r="AY156" s="123"/>
      <c r="AZ156" s="123">
        <f t="shared" ref="AZ156:AZ162" si="223">(AY156/12*2*$E156*$G156*$H156*$N156*$AZ$11)+(AY156/12*10*$F156*$G156*$H156*$N156*$AZ$11)</f>
        <v>0</v>
      </c>
      <c r="BA156" s="123">
        <v>141</v>
      </c>
      <c r="BB156" s="123">
        <f t="shared" ref="BB156:BB162" si="224">(BA156/12*2*$E156*$G156*$H156*$N156*$BB$11)+(BA156/12*10*$F156*$G156*$H156*$N156*$BB$12)</f>
        <v>39359914.157759987</v>
      </c>
      <c r="BC156" s="123"/>
      <c r="BD156" s="126">
        <f t="shared" ref="BD156:BD162" si="225">(BC156/12*2*$E156*$G156*$H156*$N156*$BD$11)+(BC156/12*10*$F156*$G156*$H156*$N156*$BD$12)</f>
        <v>0</v>
      </c>
      <c r="BE156" s="123">
        <v>2</v>
      </c>
      <c r="BF156" s="123">
        <f t="shared" ref="BF156:BF162" si="226">(BE156/12*10*$F156*$G156*$H156*$N156*$BF$12)</f>
        <v>485276.59599999996</v>
      </c>
      <c r="BG156" s="123"/>
      <c r="BH156" s="123">
        <f t="shared" ref="BH156:BH162" si="227">(BG156/12*2*$E156*$G156*$H156*$N156*$BH$11)+(BG156/12*10*$F156*$G156*$H156*$N156*$BH$11)</f>
        <v>0</v>
      </c>
      <c r="BI156" s="123">
        <v>12</v>
      </c>
      <c r="BJ156" s="126">
        <f t="shared" ref="BJ156:BJ162" si="228">(BI156/12*2*$E156*$G156*$H156*$N156*$BJ$11)+(BI156/12*10*$F156*$G156*$H156*$N156*$BJ$11)</f>
        <v>4159495.5736319995</v>
      </c>
      <c r="BK156" s="123"/>
      <c r="BL156" s="127">
        <f t="shared" ref="BL156:BL162" si="229">(BK156/12*2*$E156*$G156*$H156*$N156*$BL$11)+(BK156/12*10*$F156*$G156*$H156*$N156*$BL$11)</f>
        <v>0</v>
      </c>
      <c r="BM156" s="123"/>
      <c r="BN156" s="123">
        <f t="shared" ref="BN156:BN162" si="230">(BM156/12*2*$E156*$G156*$H156*$M156*$BN$11)+(BM156/12*10*$F156*$G156*$H156*$M156*$BN$11)</f>
        <v>0</v>
      </c>
      <c r="BO156" s="123"/>
      <c r="BP156" s="123">
        <f t="shared" ref="BP156:BP162" si="231">(BO156/12*2*$E156*$G156*$H156*$M156*$BP$11)+(BO156/12*10*$F156*$G156*$H156*$M156*$BP$12)</f>
        <v>0</v>
      </c>
      <c r="BQ156" s="123"/>
      <c r="BR156" s="123">
        <f t="shared" ref="BR156:BR162" si="232">(BQ156/12*2*$E156*$G156*$H156*$M156*$BR$11)+(BQ156/12*10*$F156*$G156*$H156*$M156*$BR$11)</f>
        <v>0</v>
      </c>
      <c r="BS156" s="123">
        <v>0</v>
      </c>
      <c r="BT156" s="123">
        <f t="shared" ref="BT156:BT162" si="233">(BS156/12*2*$E156*$G156*$H156*$N156*$BT$11)+(BS156/12*10*$F156*$G156*$H156*$N156*$BT$11)</f>
        <v>0</v>
      </c>
      <c r="BU156" s="123"/>
      <c r="BV156" s="126">
        <f t="shared" ref="BV156:BV162" si="234">(BU156/12*2*$E156*$G156*$H156*$M156*$BV$11)+(BU156/12*10*$F156*$G156*$H156*$M156*$BV$11)</f>
        <v>0</v>
      </c>
      <c r="BW156" s="123"/>
      <c r="BX156" s="123">
        <f t="shared" ref="BX156:BX162" si="235">(BW156/12*2*$E156*$G156*$H156*$M156*$BX$11)+(BW156/12*10*$F156*$G156*$H156*$M156*$BX$11)</f>
        <v>0</v>
      </c>
      <c r="BY156" s="123"/>
      <c r="BZ156" s="123">
        <f t="shared" ref="BZ156:BZ162" si="236">(BY156/12*2*$E156*$G156*$H156*$M156*$BZ$11)+(BY156/12*10*$F156*$G156*$H156*$M156*$BZ$11)</f>
        <v>0</v>
      </c>
      <c r="CA156" s="123"/>
      <c r="CB156" s="123">
        <f t="shared" ref="CB156:CB162" si="237">(CA156/12*2*$E156*$G156*$H156*$M156*$CB$11)+(CA156/12*10*$F156*$G156*$H156*$M156*$CB$11)</f>
        <v>0</v>
      </c>
      <c r="CC156" s="123"/>
      <c r="CD156" s="123">
        <f t="shared" ref="CD156:CD162" si="238">(CC156/12*2*$E156*$G156*$H156*$M156*$CD$11)+(CC156/12*10*$F156*$G156*$H156*$M156*$CD$11)</f>
        <v>0</v>
      </c>
      <c r="CE156" s="123">
        <v>3</v>
      </c>
      <c r="CF156" s="123">
        <f t="shared" ref="CF156:CF162" si="239">(CE156/12*10*$F156*$G156*$H156*$N156*$CF$11)</f>
        <v>727914.89399999997</v>
      </c>
      <c r="CG156" s="132"/>
      <c r="CH156" s="123">
        <f t="shared" ref="CH156:CH162" si="240">(CG156/12*2*$E156*$G156*$H156*$N156*$CH$11)+(CG156/12*10*$F156*$G156*$H156*$N156*$CH$11)</f>
        <v>0</v>
      </c>
      <c r="CI156" s="123"/>
      <c r="CJ156" s="127">
        <f t="shared" ref="CJ156:CJ162" si="241">(CI156*$E156*$G156*$H156*$N156*CJ$11)</f>
        <v>0</v>
      </c>
      <c r="CK156" s="123"/>
      <c r="CL156" s="123">
        <f t="shared" ref="CL156:CL162" si="242">(CK156/12*2*$E156*$G156*$H156*$N156*$CL$11)+(CK156/12*10*$F156*$G156*$H156*$N156*$CL$12)</f>
        <v>0</v>
      </c>
      <c r="CM156" s="130"/>
      <c r="CN156" s="123">
        <f t="shared" ref="CN156:CN162" si="243">(CM156/12*2*$E156*$G156*$H156*$N156*$CN$11)+(CM156/12*10*$F156*$G156*$H156*$N156*$CN$11)</f>
        <v>0</v>
      </c>
      <c r="CO156" s="123"/>
      <c r="CP156" s="123">
        <f t="shared" ref="CP156:CP162" si="244">(CO156/12*2*$E156*$G156*$H156*$N156*$CP$11)+(CO156/12*10*$F156*$G156*$H156*$N156*$CP$11)</f>
        <v>0</v>
      </c>
      <c r="CQ156" s="123"/>
      <c r="CR156" s="123">
        <f t="shared" ref="CR156:CR162" si="245">(CQ156/12*2*$E156*$G156*$H156*$O156*$CR$11)+(CQ156/12*10*$F156*$G156*$H156*$O156*$CR$11)</f>
        <v>0</v>
      </c>
      <c r="CS156" s="123"/>
      <c r="CT156" s="133">
        <f t="shared" ref="CT156:CT162" si="246">(CS156/12*2*$E156*$G156*$H156*$P156*$CT$11)+(CS156/12*10*$F156*$G156*$H156*$P156*$CT$11)</f>
        <v>0</v>
      </c>
      <c r="CU156" s="127"/>
      <c r="CV156" s="123">
        <f t="shared" ref="CV156:CV162" si="247">(CU156*$E156*$G156*$H156*$M156*CV$11)/12*6+(CU156*$E156*$G156*$H156*1*CV$11)/12*6</f>
        <v>0</v>
      </c>
      <c r="CW156" s="126">
        <f t="shared" ref="CW156:CX162" si="248">SUM(Q156,S156,U156,W156,Y156,AA156,AC156,AE156,AG156,AM156,BQ156,AI156,AU156,CC156,AW156,AY156,AK156,BC156,AO156,AQ156,BE156,CE156,BG156,BI156,BK156,BS156,BM156,BO156,BU156,BW156,BY156,CA156,CG156,BA156,AS156,CI156,CK156,CM156,CO156,CQ156,CS156,CU156)</f>
        <v>854</v>
      </c>
      <c r="CX156" s="126">
        <f t="shared" si="248"/>
        <v>279931265.47685128</v>
      </c>
    </row>
    <row r="157" spans="1:102" ht="30" customHeight="1" x14ac:dyDescent="0.25">
      <c r="A157" s="277" t="s">
        <v>306</v>
      </c>
      <c r="B157" s="116">
        <v>127</v>
      </c>
      <c r="C157" s="117" t="s">
        <v>403</v>
      </c>
      <c r="D157" s="207" t="s">
        <v>404</v>
      </c>
      <c r="E157" s="95">
        <v>28004</v>
      </c>
      <c r="F157" s="96">
        <v>29405</v>
      </c>
      <c r="G157" s="208">
        <v>15.63</v>
      </c>
      <c r="H157" s="110">
        <v>1.4</v>
      </c>
      <c r="I157" s="110"/>
      <c r="J157" s="110"/>
      <c r="K157" s="110"/>
      <c r="L157" s="63"/>
      <c r="M157" s="120">
        <v>1.4</v>
      </c>
      <c r="N157" s="120">
        <v>1.68</v>
      </c>
      <c r="O157" s="120">
        <v>2.23</v>
      </c>
      <c r="P157" s="121">
        <v>2.57</v>
      </c>
      <c r="Q157" s="122"/>
      <c r="R157" s="123">
        <f t="shared" si="208"/>
        <v>0</v>
      </c>
      <c r="S157" s="124"/>
      <c r="T157" s="125">
        <f t="shared" si="209"/>
        <v>0</v>
      </c>
      <c r="U157" s="123"/>
      <c r="V157" s="123">
        <f t="shared" si="210"/>
        <v>0</v>
      </c>
      <c r="W157" s="123">
        <v>15</v>
      </c>
      <c r="X157" s="126">
        <f t="shared" si="211"/>
        <v>17978710.17495</v>
      </c>
      <c r="Y157" s="123"/>
      <c r="Z157" s="123">
        <f t="shared" si="212"/>
        <v>0</v>
      </c>
      <c r="AA157" s="123"/>
      <c r="AB157" s="123">
        <f t="shared" si="213"/>
        <v>0</v>
      </c>
      <c r="AC157" s="123"/>
      <c r="AD157" s="123"/>
      <c r="AE157" s="123"/>
      <c r="AF157" s="123">
        <f t="shared" si="214"/>
        <v>0</v>
      </c>
      <c r="AG157" s="123"/>
      <c r="AH157" s="126">
        <f t="shared" si="215"/>
        <v>0</v>
      </c>
      <c r="AI157" s="123"/>
      <c r="AJ157" s="123">
        <f t="shared" si="216"/>
        <v>0</v>
      </c>
      <c r="AK157" s="123">
        <v>9</v>
      </c>
      <c r="AL157" s="123">
        <f t="shared" si="217"/>
        <v>12465956.011068</v>
      </c>
      <c r="AM157" s="132"/>
      <c r="AN157" s="123">
        <f t="shared" si="218"/>
        <v>0</v>
      </c>
      <c r="AO157" s="130"/>
      <c r="AP157" s="127">
        <f t="shared" si="219"/>
        <v>0</v>
      </c>
      <c r="AQ157" s="127">
        <v>0</v>
      </c>
      <c r="AR157" s="127">
        <v>0</v>
      </c>
      <c r="AS157" s="123"/>
      <c r="AT157" s="123">
        <f t="shared" si="220"/>
        <v>0</v>
      </c>
      <c r="AU157" s="123"/>
      <c r="AV157" s="126">
        <f t="shared" si="221"/>
        <v>0</v>
      </c>
      <c r="AW157" s="123"/>
      <c r="AX157" s="123">
        <f t="shared" si="222"/>
        <v>0</v>
      </c>
      <c r="AY157" s="123"/>
      <c r="AZ157" s="123">
        <f t="shared" si="223"/>
        <v>0</v>
      </c>
      <c r="BA157" s="123">
        <v>3</v>
      </c>
      <c r="BB157" s="123">
        <f>(BA157/12*2*$E157*$G157*$H157*$N157*$BB$11)+(BA157/12*10*$F157*$G157*$H157*$N157*$BB$12)</f>
        <v>3109089.0902399998</v>
      </c>
      <c r="BC157" s="123"/>
      <c r="BD157" s="126">
        <f t="shared" si="225"/>
        <v>0</v>
      </c>
      <c r="BE157" s="123"/>
      <c r="BF157" s="123">
        <f t="shared" si="226"/>
        <v>0</v>
      </c>
      <c r="BG157" s="123"/>
      <c r="BH157" s="123">
        <f t="shared" si="227"/>
        <v>0</v>
      </c>
      <c r="BI157" s="123"/>
      <c r="BJ157" s="126">
        <f t="shared" si="228"/>
        <v>0</v>
      </c>
      <c r="BK157" s="123"/>
      <c r="BL157" s="127">
        <f t="shared" si="229"/>
        <v>0</v>
      </c>
      <c r="BM157" s="123"/>
      <c r="BN157" s="123">
        <f t="shared" si="230"/>
        <v>0</v>
      </c>
      <c r="BO157" s="123"/>
      <c r="BP157" s="123">
        <f t="shared" si="231"/>
        <v>0</v>
      </c>
      <c r="BQ157" s="123"/>
      <c r="BR157" s="123">
        <f t="shared" si="232"/>
        <v>0</v>
      </c>
      <c r="BS157" s="123">
        <v>0</v>
      </c>
      <c r="BT157" s="123">
        <f t="shared" si="233"/>
        <v>0</v>
      </c>
      <c r="BU157" s="123"/>
      <c r="BV157" s="126">
        <f t="shared" si="234"/>
        <v>0</v>
      </c>
      <c r="BW157" s="123"/>
      <c r="BX157" s="123">
        <f t="shared" si="235"/>
        <v>0</v>
      </c>
      <c r="BY157" s="123"/>
      <c r="BZ157" s="123">
        <f t="shared" si="236"/>
        <v>0</v>
      </c>
      <c r="CA157" s="123"/>
      <c r="CB157" s="123">
        <f t="shared" si="237"/>
        <v>0</v>
      </c>
      <c r="CC157" s="123"/>
      <c r="CD157" s="123">
        <f t="shared" si="238"/>
        <v>0</v>
      </c>
      <c r="CE157" s="123"/>
      <c r="CF157" s="123">
        <f t="shared" si="239"/>
        <v>0</v>
      </c>
      <c r="CG157" s="132"/>
      <c r="CH157" s="123">
        <f t="shared" si="240"/>
        <v>0</v>
      </c>
      <c r="CI157" s="123"/>
      <c r="CJ157" s="127">
        <f t="shared" si="241"/>
        <v>0</v>
      </c>
      <c r="CK157" s="123"/>
      <c r="CL157" s="123">
        <f t="shared" si="242"/>
        <v>0</v>
      </c>
      <c r="CM157" s="130"/>
      <c r="CN157" s="123">
        <f t="shared" si="243"/>
        <v>0</v>
      </c>
      <c r="CO157" s="123"/>
      <c r="CP157" s="123">
        <f t="shared" si="244"/>
        <v>0</v>
      </c>
      <c r="CQ157" s="123"/>
      <c r="CR157" s="123">
        <f t="shared" si="245"/>
        <v>0</v>
      </c>
      <c r="CS157" s="123"/>
      <c r="CT157" s="133">
        <f t="shared" si="246"/>
        <v>0</v>
      </c>
      <c r="CU157" s="127"/>
      <c r="CV157" s="123">
        <f t="shared" si="247"/>
        <v>0</v>
      </c>
      <c r="CW157" s="126">
        <f t="shared" si="248"/>
        <v>27</v>
      </c>
      <c r="CX157" s="126">
        <f t="shared" si="248"/>
        <v>33553755.276257999</v>
      </c>
    </row>
    <row r="158" spans="1:102" ht="60" x14ac:dyDescent="0.25">
      <c r="A158" s="277" t="s">
        <v>306</v>
      </c>
      <c r="B158" s="116">
        <v>128</v>
      </c>
      <c r="C158" s="117" t="s">
        <v>405</v>
      </c>
      <c r="D158" s="207" t="s">
        <v>406</v>
      </c>
      <c r="E158" s="95">
        <v>28004</v>
      </c>
      <c r="F158" s="96">
        <v>29405</v>
      </c>
      <c r="G158" s="209">
        <v>7.4</v>
      </c>
      <c r="H158" s="110">
        <v>1.4</v>
      </c>
      <c r="I158" s="110"/>
      <c r="J158" s="110"/>
      <c r="K158" s="110"/>
      <c r="L158" s="63"/>
      <c r="M158" s="120">
        <v>1.4</v>
      </c>
      <c r="N158" s="120">
        <v>1.68</v>
      </c>
      <c r="O158" s="120">
        <v>2.23</v>
      </c>
      <c r="P158" s="121">
        <v>2.57</v>
      </c>
      <c r="Q158" s="122"/>
      <c r="R158" s="123">
        <f t="shared" si="208"/>
        <v>0</v>
      </c>
      <c r="S158" s="124"/>
      <c r="T158" s="125">
        <f t="shared" si="209"/>
        <v>0</v>
      </c>
      <c r="U158" s="123"/>
      <c r="V158" s="123">
        <f t="shared" si="210"/>
        <v>0</v>
      </c>
      <c r="W158" s="123">
        <v>245</v>
      </c>
      <c r="X158" s="126">
        <f t="shared" si="211"/>
        <v>139029223.91633335</v>
      </c>
      <c r="Y158" s="123"/>
      <c r="Z158" s="123">
        <f t="shared" si="212"/>
        <v>0</v>
      </c>
      <c r="AA158" s="123"/>
      <c r="AB158" s="123">
        <f t="shared" si="213"/>
        <v>0</v>
      </c>
      <c r="AC158" s="123"/>
      <c r="AD158" s="123"/>
      <c r="AE158" s="123"/>
      <c r="AF158" s="123">
        <f t="shared" si="214"/>
        <v>0</v>
      </c>
      <c r="AG158" s="123"/>
      <c r="AH158" s="126">
        <f t="shared" si="215"/>
        <v>0</v>
      </c>
      <c r="AI158" s="123"/>
      <c r="AJ158" s="123">
        <f t="shared" si="216"/>
        <v>0</v>
      </c>
      <c r="AK158" s="123">
        <v>41</v>
      </c>
      <c r="AL158" s="123">
        <f t="shared" si="217"/>
        <v>26886834.817359999</v>
      </c>
      <c r="AM158" s="132"/>
      <c r="AN158" s="123">
        <f t="shared" si="218"/>
        <v>0</v>
      </c>
      <c r="AO158" s="130"/>
      <c r="AP158" s="127">
        <f t="shared" si="219"/>
        <v>0</v>
      </c>
      <c r="AQ158" s="127">
        <v>0</v>
      </c>
      <c r="AR158" s="127">
        <v>0</v>
      </c>
      <c r="AS158" s="123"/>
      <c r="AT158" s="123">
        <f t="shared" si="220"/>
        <v>0</v>
      </c>
      <c r="AU158" s="123"/>
      <c r="AV158" s="126">
        <f t="shared" si="221"/>
        <v>0</v>
      </c>
      <c r="AW158" s="123"/>
      <c r="AX158" s="123">
        <f t="shared" si="222"/>
        <v>0</v>
      </c>
      <c r="AY158" s="123"/>
      <c r="AZ158" s="123">
        <f t="shared" si="223"/>
        <v>0</v>
      </c>
      <c r="BA158" s="123"/>
      <c r="BB158" s="123">
        <f t="shared" si="224"/>
        <v>0</v>
      </c>
      <c r="BC158" s="123"/>
      <c r="BD158" s="126">
        <f t="shared" si="225"/>
        <v>0</v>
      </c>
      <c r="BE158" s="123"/>
      <c r="BF158" s="123">
        <f t="shared" si="226"/>
        <v>0</v>
      </c>
      <c r="BG158" s="123"/>
      <c r="BH158" s="123">
        <f t="shared" si="227"/>
        <v>0</v>
      </c>
      <c r="BI158" s="123"/>
      <c r="BJ158" s="126">
        <f t="shared" si="228"/>
        <v>0</v>
      </c>
      <c r="BK158" s="123"/>
      <c r="BL158" s="127">
        <f t="shared" si="229"/>
        <v>0</v>
      </c>
      <c r="BM158" s="123"/>
      <c r="BN158" s="123">
        <f t="shared" si="230"/>
        <v>0</v>
      </c>
      <c r="BO158" s="123"/>
      <c r="BP158" s="123">
        <f t="shared" si="231"/>
        <v>0</v>
      </c>
      <c r="BQ158" s="123"/>
      <c r="BR158" s="123">
        <f t="shared" si="232"/>
        <v>0</v>
      </c>
      <c r="BS158" s="123">
        <v>0</v>
      </c>
      <c r="BT158" s="123">
        <f t="shared" si="233"/>
        <v>0</v>
      </c>
      <c r="BU158" s="123"/>
      <c r="BV158" s="126">
        <f t="shared" si="234"/>
        <v>0</v>
      </c>
      <c r="BW158" s="123"/>
      <c r="BX158" s="123">
        <f t="shared" si="235"/>
        <v>0</v>
      </c>
      <c r="BY158" s="123"/>
      <c r="BZ158" s="123">
        <f t="shared" si="236"/>
        <v>0</v>
      </c>
      <c r="CA158" s="123"/>
      <c r="CB158" s="123">
        <f t="shared" si="237"/>
        <v>0</v>
      </c>
      <c r="CC158" s="123"/>
      <c r="CD158" s="123">
        <f t="shared" si="238"/>
        <v>0</v>
      </c>
      <c r="CE158" s="123"/>
      <c r="CF158" s="123">
        <f t="shared" si="239"/>
        <v>0</v>
      </c>
      <c r="CG158" s="132"/>
      <c r="CH158" s="123">
        <f t="shared" si="240"/>
        <v>0</v>
      </c>
      <c r="CI158" s="123"/>
      <c r="CJ158" s="127">
        <f t="shared" si="241"/>
        <v>0</v>
      </c>
      <c r="CK158" s="123"/>
      <c r="CL158" s="123">
        <f t="shared" si="242"/>
        <v>0</v>
      </c>
      <c r="CM158" s="130"/>
      <c r="CN158" s="123">
        <f t="shared" si="243"/>
        <v>0</v>
      </c>
      <c r="CO158" s="123"/>
      <c r="CP158" s="123">
        <f t="shared" si="244"/>
        <v>0</v>
      </c>
      <c r="CQ158" s="123"/>
      <c r="CR158" s="123">
        <f t="shared" si="245"/>
        <v>0</v>
      </c>
      <c r="CS158" s="123"/>
      <c r="CT158" s="133">
        <f t="shared" si="246"/>
        <v>0</v>
      </c>
      <c r="CU158" s="127"/>
      <c r="CV158" s="123">
        <f t="shared" si="247"/>
        <v>0</v>
      </c>
      <c r="CW158" s="126">
        <f t="shared" si="248"/>
        <v>286</v>
      </c>
      <c r="CX158" s="126">
        <f t="shared" si="248"/>
        <v>165916058.73369336</v>
      </c>
    </row>
    <row r="159" spans="1:102" ht="30" customHeight="1" x14ac:dyDescent="0.25">
      <c r="A159" s="91"/>
      <c r="B159" s="116">
        <v>129</v>
      </c>
      <c r="C159" s="117" t="s">
        <v>407</v>
      </c>
      <c r="D159" s="161" t="s">
        <v>408</v>
      </c>
      <c r="E159" s="95">
        <v>28004</v>
      </c>
      <c r="F159" s="96">
        <v>29405</v>
      </c>
      <c r="G159" s="119">
        <v>1.92</v>
      </c>
      <c r="H159" s="110">
        <v>1.4</v>
      </c>
      <c r="I159" s="203"/>
      <c r="J159" s="203"/>
      <c r="K159" s="203"/>
      <c r="L159" s="63"/>
      <c r="M159" s="120">
        <v>1.4</v>
      </c>
      <c r="N159" s="120">
        <v>1.68</v>
      </c>
      <c r="O159" s="120">
        <v>2.23</v>
      </c>
      <c r="P159" s="121">
        <v>2.57</v>
      </c>
      <c r="Q159" s="122"/>
      <c r="R159" s="123">
        <f t="shared" si="208"/>
        <v>0</v>
      </c>
      <c r="S159" s="124"/>
      <c r="T159" s="125">
        <f t="shared" si="209"/>
        <v>0</v>
      </c>
      <c r="U159" s="123">
        <v>2</v>
      </c>
      <c r="V159" s="123">
        <f t="shared" si="210"/>
        <v>294468.95743999991</v>
      </c>
      <c r="W159" s="123">
        <v>285</v>
      </c>
      <c r="X159" s="126">
        <f t="shared" si="211"/>
        <v>41961826.435199998</v>
      </c>
      <c r="Y159" s="123"/>
      <c r="Z159" s="123">
        <f t="shared" si="212"/>
        <v>0</v>
      </c>
      <c r="AA159" s="123"/>
      <c r="AB159" s="123">
        <f t="shared" si="213"/>
        <v>0</v>
      </c>
      <c r="AC159" s="123"/>
      <c r="AD159" s="123"/>
      <c r="AE159" s="123"/>
      <c r="AF159" s="123">
        <f t="shared" si="214"/>
        <v>0</v>
      </c>
      <c r="AG159" s="123"/>
      <c r="AH159" s="126">
        <f t="shared" si="215"/>
        <v>0</v>
      </c>
      <c r="AI159" s="123"/>
      <c r="AJ159" s="123">
        <f t="shared" si="216"/>
        <v>0</v>
      </c>
      <c r="AK159" s="123">
        <v>20</v>
      </c>
      <c r="AL159" s="123">
        <f t="shared" si="217"/>
        <v>3402948.11136</v>
      </c>
      <c r="AM159" s="132"/>
      <c r="AN159" s="123">
        <f t="shared" si="218"/>
        <v>0</v>
      </c>
      <c r="AO159" s="130"/>
      <c r="AP159" s="127">
        <f t="shared" si="219"/>
        <v>0</v>
      </c>
      <c r="AQ159" s="127">
        <v>0</v>
      </c>
      <c r="AR159" s="127">
        <v>0</v>
      </c>
      <c r="AS159" s="123"/>
      <c r="AT159" s="123">
        <f t="shared" si="220"/>
        <v>0</v>
      </c>
      <c r="AU159" s="123"/>
      <c r="AV159" s="126">
        <f t="shared" si="221"/>
        <v>0</v>
      </c>
      <c r="AW159" s="123"/>
      <c r="AX159" s="123">
        <f t="shared" si="222"/>
        <v>0</v>
      </c>
      <c r="AY159" s="123"/>
      <c r="AZ159" s="123">
        <f t="shared" si="223"/>
        <v>0</v>
      </c>
      <c r="BA159" s="123">
        <v>80</v>
      </c>
      <c r="BB159" s="123">
        <f t="shared" si="224"/>
        <v>10184604.057600001</v>
      </c>
      <c r="BC159" s="123"/>
      <c r="BD159" s="126">
        <f t="shared" si="225"/>
        <v>0</v>
      </c>
      <c r="BE159" s="123">
        <v>2</v>
      </c>
      <c r="BF159" s="123">
        <f t="shared" si="226"/>
        <v>221313.79199999993</v>
      </c>
      <c r="BG159" s="123"/>
      <c r="BH159" s="123">
        <f t="shared" si="227"/>
        <v>0</v>
      </c>
      <c r="BI159" s="123"/>
      <c r="BJ159" s="126">
        <f t="shared" si="228"/>
        <v>0</v>
      </c>
      <c r="BK159" s="123"/>
      <c r="BL159" s="127">
        <f t="shared" si="229"/>
        <v>0</v>
      </c>
      <c r="BM159" s="123"/>
      <c r="BN159" s="123">
        <f t="shared" si="230"/>
        <v>0</v>
      </c>
      <c r="BO159" s="123">
        <v>46</v>
      </c>
      <c r="BP159" s="123">
        <f t="shared" si="231"/>
        <v>4625611.9167999998</v>
      </c>
      <c r="BQ159" s="123"/>
      <c r="BR159" s="123">
        <f t="shared" si="232"/>
        <v>0</v>
      </c>
      <c r="BS159" s="123">
        <v>8</v>
      </c>
      <c r="BT159" s="123">
        <f t="shared" si="233"/>
        <v>1053870.6124799997</v>
      </c>
      <c r="BU159" s="123"/>
      <c r="BV159" s="126">
        <f t="shared" si="234"/>
        <v>0</v>
      </c>
      <c r="BW159" s="123"/>
      <c r="BX159" s="123">
        <f t="shared" si="235"/>
        <v>0</v>
      </c>
      <c r="BY159" s="123"/>
      <c r="BZ159" s="123">
        <f t="shared" si="236"/>
        <v>0</v>
      </c>
      <c r="CA159" s="123">
        <v>12</v>
      </c>
      <c r="CB159" s="123">
        <f t="shared" si="237"/>
        <v>1580805.9187199995</v>
      </c>
      <c r="CC159" s="123"/>
      <c r="CD159" s="123">
        <f t="shared" si="238"/>
        <v>0</v>
      </c>
      <c r="CE159" s="123">
        <v>3</v>
      </c>
      <c r="CF159" s="123">
        <f t="shared" si="239"/>
        <v>331970.68799999997</v>
      </c>
      <c r="CG159" s="132"/>
      <c r="CH159" s="123">
        <f t="shared" si="240"/>
        <v>0</v>
      </c>
      <c r="CI159" s="123"/>
      <c r="CJ159" s="127">
        <f t="shared" si="241"/>
        <v>0</v>
      </c>
      <c r="CK159" s="123"/>
      <c r="CL159" s="123">
        <f t="shared" si="242"/>
        <v>0</v>
      </c>
      <c r="CM159" s="130"/>
      <c r="CN159" s="123">
        <f t="shared" si="243"/>
        <v>0</v>
      </c>
      <c r="CO159" s="123"/>
      <c r="CP159" s="123">
        <f t="shared" si="244"/>
        <v>0</v>
      </c>
      <c r="CQ159" s="123"/>
      <c r="CR159" s="123">
        <f t="shared" si="245"/>
        <v>0</v>
      </c>
      <c r="CS159" s="123"/>
      <c r="CT159" s="133">
        <f t="shared" si="246"/>
        <v>0</v>
      </c>
      <c r="CU159" s="127"/>
      <c r="CV159" s="123">
        <f t="shared" si="247"/>
        <v>0</v>
      </c>
      <c r="CW159" s="126">
        <f t="shared" si="248"/>
        <v>458</v>
      </c>
      <c r="CX159" s="126">
        <f t="shared" si="248"/>
        <v>63657420.489599995</v>
      </c>
    </row>
    <row r="160" spans="1:102" ht="30" customHeight="1" x14ac:dyDescent="0.25">
      <c r="A160" s="91"/>
      <c r="B160" s="116">
        <v>130</v>
      </c>
      <c r="C160" s="117" t="s">
        <v>409</v>
      </c>
      <c r="D160" s="161" t="s">
        <v>410</v>
      </c>
      <c r="E160" s="95">
        <v>28004</v>
      </c>
      <c r="F160" s="96">
        <v>29405</v>
      </c>
      <c r="G160" s="119">
        <v>1.39</v>
      </c>
      <c r="H160" s="110">
        <v>1.4</v>
      </c>
      <c r="I160" s="203"/>
      <c r="J160" s="203"/>
      <c r="K160" s="203"/>
      <c r="L160" s="63"/>
      <c r="M160" s="120">
        <v>1.4</v>
      </c>
      <c r="N160" s="120">
        <v>1.68</v>
      </c>
      <c r="O160" s="120">
        <v>2.23</v>
      </c>
      <c r="P160" s="121">
        <v>2.57</v>
      </c>
      <c r="Q160" s="122"/>
      <c r="R160" s="123">
        <f t="shared" si="208"/>
        <v>0</v>
      </c>
      <c r="S160" s="124"/>
      <c r="T160" s="125">
        <f t="shared" si="209"/>
        <v>0</v>
      </c>
      <c r="U160" s="123">
        <v>1</v>
      </c>
      <c r="V160" s="123">
        <f t="shared" si="210"/>
        <v>106591.62782333333</v>
      </c>
      <c r="W160" s="123">
        <v>359</v>
      </c>
      <c r="X160" s="126">
        <f t="shared" si="211"/>
        <v>38266394.388576664</v>
      </c>
      <c r="Y160" s="123"/>
      <c r="Z160" s="123">
        <f t="shared" si="212"/>
        <v>0</v>
      </c>
      <c r="AA160" s="123"/>
      <c r="AB160" s="123">
        <f t="shared" si="213"/>
        <v>0</v>
      </c>
      <c r="AC160" s="123"/>
      <c r="AD160" s="123"/>
      <c r="AE160" s="123"/>
      <c r="AF160" s="123">
        <f t="shared" si="214"/>
        <v>0</v>
      </c>
      <c r="AG160" s="123"/>
      <c r="AH160" s="126">
        <f t="shared" si="215"/>
        <v>0</v>
      </c>
      <c r="AI160" s="123"/>
      <c r="AJ160" s="123">
        <f t="shared" si="216"/>
        <v>0</v>
      </c>
      <c r="AK160" s="123">
        <v>20</v>
      </c>
      <c r="AL160" s="123">
        <f t="shared" si="217"/>
        <v>2463592.6431199997</v>
      </c>
      <c r="AM160" s="132"/>
      <c r="AN160" s="123">
        <f t="shared" si="218"/>
        <v>0</v>
      </c>
      <c r="AO160" s="130"/>
      <c r="AP160" s="127">
        <f t="shared" si="219"/>
        <v>0</v>
      </c>
      <c r="AQ160" s="127">
        <v>0</v>
      </c>
      <c r="AR160" s="127">
        <v>0</v>
      </c>
      <c r="AS160" s="123"/>
      <c r="AT160" s="123">
        <f t="shared" si="220"/>
        <v>0</v>
      </c>
      <c r="AU160" s="123"/>
      <c r="AV160" s="126">
        <f t="shared" si="221"/>
        <v>0</v>
      </c>
      <c r="AW160" s="123">
        <v>5</v>
      </c>
      <c r="AX160" s="123">
        <f t="shared" si="222"/>
        <v>456821.26209999993</v>
      </c>
      <c r="AY160" s="123"/>
      <c r="AZ160" s="123">
        <f t="shared" si="223"/>
        <v>0</v>
      </c>
      <c r="BA160" s="123">
        <v>170</v>
      </c>
      <c r="BB160" s="123">
        <f t="shared" si="224"/>
        <v>15668111.580799995</v>
      </c>
      <c r="BC160" s="123"/>
      <c r="BD160" s="126">
        <f t="shared" si="225"/>
        <v>0</v>
      </c>
      <c r="BE160" s="123">
        <v>5</v>
      </c>
      <c r="BF160" s="123">
        <f>(BE160/12*10*$F160*$G160*$H160*$N160*$BF$12)</f>
        <v>400554.91</v>
      </c>
      <c r="BG160" s="123"/>
      <c r="BH160" s="123">
        <f t="shared" si="227"/>
        <v>0</v>
      </c>
      <c r="BI160" s="123"/>
      <c r="BJ160" s="126">
        <f t="shared" si="228"/>
        <v>0</v>
      </c>
      <c r="BK160" s="123"/>
      <c r="BL160" s="127">
        <f t="shared" si="229"/>
        <v>0</v>
      </c>
      <c r="BM160" s="123"/>
      <c r="BN160" s="123">
        <f t="shared" si="230"/>
        <v>0</v>
      </c>
      <c r="BO160" s="123">
        <v>1</v>
      </c>
      <c r="BP160" s="123">
        <f>(BO160*$F160*$G160*$H160*$M160*$BP$12)</f>
        <v>72099.883799999981</v>
      </c>
      <c r="BQ160" s="123"/>
      <c r="BR160" s="123">
        <f t="shared" si="232"/>
        <v>0</v>
      </c>
      <c r="BS160" s="123">
        <v>5</v>
      </c>
      <c r="BT160" s="123">
        <f t="shared" si="233"/>
        <v>476849.00759999995</v>
      </c>
      <c r="BU160" s="123"/>
      <c r="BV160" s="126">
        <f t="shared" si="234"/>
        <v>0</v>
      </c>
      <c r="BW160" s="123"/>
      <c r="BX160" s="123">
        <f t="shared" si="235"/>
        <v>0</v>
      </c>
      <c r="BY160" s="123"/>
      <c r="BZ160" s="123">
        <f t="shared" si="236"/>
        <v>0</v>
      </c>
      <c r="CA160" s="123">
        <v>18</v>
      </c>
      <c r="CB160" s="123">
        <f t="shared" si="237"/>
        <v>1716656.4273599996</v>
      </c>
      <c r="CC160" s="123"/>
      <c r="CD160" s="123">
        <f t="shared" si="238"/>
        <v>0</v>
      </c>
      <c r="CE160" s="123"/>
      <c r="CF160" s="123">
        <f t="shared" si="239"/>
        <v>0</v>
      </c>
      <c r="CG160" s="132"/>
      <c r="CH160" s="123">
        <f t="shared" si="240"/>
        <v>0</v>
      </c>
      <c r="CI160" s="123"/>
      <c r="CJ160" s="127">
        <f t="shared" si="241"/>
        <v>0</v>
      </c>
      <c r="CK160" s="123"/>
      <c r="CL160" s="123">
        <f t="shared" si="242"/>
        <v>0</v>
      </c>
      <c r="CM160" s="130"/>
      <c r="CN160" s="123">
        <f t="shared" si="243"/>
        <v>0</v>
      </c>
      <c r="CO160" s="123"/>
      <c r="CP160" s="123">
        <f t="shared" si="244"/>
        <v>0</v>
      </c>
      <c r="CQ160" s="123"/>
      <c r="CR160" s="123">
        <f t="shared" si="245"/>
        <v>0</v>
      </c>
      <c r="CS160" s="123"/>
      <c r="CT160" s="133">
        <f t="shared" si="246"/>
        <v>0</v>
      </c>
      <c r="CU160" s="127"/>
      <c r="CV160" s="123">
        <f t="shared" si="247"/>
        <v>0</v>
      </c>
      <c r="CW160" s="126">
        <f t="shared" si="248"/>
        <v>584</v>
      </c>
      <c r="CX160" s="126">
        <f t="shared" si="248"/>
        <v>59627671.731179982</v>
      </c>
    </row>
    <row r="161" spans="1:102" ht="30" customHeight="1" x14ac:dyDescent="0.25">
      <c r="A161" s="91"/>
      <c r="B161" s="116">
        <v>131</v>
      </c>
      <c r="C161" s="168" t="s">
        <v>411</v>
      </c>
      <c r="D161" s="161" t="s">
        <v>412</v>
      </c>
      <c r="E161" s="95">
        <v>28004</v>
      </c>
      <c r="F161" s="96">
        <v>29405</v>
      </c>
      <c r="G161" s="119">
        <v>1.89</v>
      </c>
      <c r="H161" s="110">
        <v>1.4</v>
      </c>
      <c r="I161" s="203"/>
      <c r="J161" s="203"/>
      <c r="K161" s="203"/>
      <c r="L161" s="63"/>
      <c r="M161" s="120">
        <v>1.4</v>
      </c>
      <c r="N161" s="120">
        <v>1.68</v>
      </c>
      <c r="O161" s="120">
        <v>2.23</v>
      </c>
      <c r="P161" s="121">
        <v>2.57</v>
      </c>
      <c r="Q161" s="122"/>
      <c r="R161" s="123">
        <f t="shared" si="208"/>
        <v>0</v>
      </c>
      <c r="S161" s="124"/>
      <c r="T161" s="125">
        <f t="shared" si="209"/>
        <v>0</v>
      </c>
      <c r="U161" s="123"/>
      <c r="V161" s="123">
        <f t="shared" si="210"/>
        <v>0</v>
      </c>
      <c r="W161" s="123">
        <v>110</v>
      </c>
      <c r="X161" s="126">
        <f t="shared" si="211"/>
        <v>15942733.398899995</v>
      </c>
      <c r="Y161" s="123"/>
      <c r="Z161" s="123">
        <f t="shared" si="212"/>
        <v>0</v>
      </c>
      <c r="AA161" s="123"/>
      <c r="AB161" s="123">
        <f t="shared" si="213"/>
        <v>0</v>
      </c>
      <c r="AC161" s="123"/>
      <c r="AD161" s="123"/>
      <c r="AE161" s="123"/>
      <c r="AF161" s="123">
        <f t="shared" si="214"/>
        <v>0</v>
      </c>
      <c r="AG161" s="123"/>
      <c r="AH161" s="126">
        <f t="shared" si="215"/>
        <v>0</v>
      </c>
      <c r="AI161" s="123"/>
      <c r="AJ161" s="123">
        <f t="shared" si="216"/>
        <v>0</v>
      </c>
      <c r="AK161" s="123">
        <v>70</v>
      </c>
      <c r="AL161" s="123">
        <f t="shared" si="217"/>
        <v>11724219.664919998</v>
      </c>
      <c r="AM161" s="132"/>
      <c r="AN161" s="123">
        <f t="shared" si="218"/>
        <v>0</v>
      </c>
      <c r="AO161" s="130"/>
      <c r="AP161" s="127">
        <f t="shared" si="219"/>
        <v>0</v>
      </c>
      <c r="AQ161" s="127">
        <v>0</v>
      </c>
      <c r="AR161" s="127">
        <v>0</v>
      </c>
      <c r="AS161" s="123"/>
      <c r="AT161" s="123">
        <f t="shared" si="220"/>
        <v>0</v>
      </c>
      <c r="AU161" s="123"/>
      <c r="AV161" s="126">
        <f t="shared" si="221"/>
        <v>0</v>
      </c>
      <c r="AW161" s="123"/>
      <c r="AX161" s="123">
        <f t="shared" si="222"/>
        <v>0</v>
      </c>
      <c r="AY161" s="131"/>
      <c r="AZ161" s="123">
        <f t="shared" si="223"/>
        <v>0</v>
      </c>
      <c r="BA161" s="123">
        <v>23</v>
      </c>
      <c r="BB161" s="123">
        <f>(BA161/12*2*$E161*$G161*$H161*$N161*$BB$11)+(BA161/12*10*$F161*$G161*$H161*$N161*$BB$12)</f>
        <v>2882322.5155199999</v>
      </c>
      <c r="BC161" s="123"/>
      <c r="BD161" s="126">
        <f t="shared" si="225"/>
        <v>0</v>
      </c>
      <c r="BE161" s="123"/>
      <c r="BF161" s="123">
        <f t="shared" si="226"/>
        <v>0</v>
      </c>
      <c r="BG161" s="123"/>
      <c r="BH161" s="123">
        <f t="shared" si="227"/>
        <v>0</v>
      </c>
      <c r="BI161" s="123">
        <v>10</v>
      </c>
      <c r="BJ161" s="126">
        <f t="shared" si="228"/>
        <v>1556105.8262400001</v>
      </c>
      <c r="BK161" s="123"/>
      <c r="BL161" s="127">
        <f t="shared" si="229"/>
        <v>0</v>
      </c>
      <c r="BM161" s="123"/>
      <c r="BN161" s="123">
        <f t="shared" si="230"/>
        <v>0</v>
      </c>
      <c r="BO161" s="123"/>
      <c r="BP161" s="123">
        <f t="shared" si="231"/>
        <v>0</v>
      </c>
      <c r="BQ161" s="123"/>
      <c r="BR161" s="123">
        <f t="shared" si="232"/>
        <v>0</v>
      </c>
      <c r="BS161" s="123">
        <v>0</v>
      </c>
      <c r="BT161" s="123">
        <f t="shared" si="233"/>
        <v>0</v>
      </c>
      <c r="BU161" s="123"/>
      <c r="BV161" s="126">
        <f t="shared" si="234"/>
        <v>0</v>
      </c>
      <c r="BW161" s="123"/>
      <c r="BX161" s="123">
        <f t="shared" si="235"/>
        <v>0</v>
      </c>
      <c r="BY161" s="123"/>
      <c r="BZ161" s="123">
        <f t="shared" si="236"/>
        <v>0</v>
      </c>
      <c r="CA161" s="123"/>
      <c r="CB161" s="123">
        <f t="shared" si="237"/>
        <v>0</v>
      </c>
      <c r="CC161" s="123"/>
      <c r="CD161" s="123">
        <f t="shared" si="238"/>
        <v>0</v>
      </c>
      <c r="CE161" s="123">
        <v>1</v>
      </c>
      <c r="CF161" s="123">
        <f t="shared" si="239"/>
        <v>108927.88199999997</v>
      </c>
      <c r="CG161" s="132"/>
      <c r="CH161" s="123">
        <f t="shared" si="240"/>
        <v>0</v>
      </c>
      <c r="CI161" s="123"/>
      <c r="CJ161" s="127">
        <f t="shared" si="241"/>
        <v>0</v>
      </c>
      <c r="CK161" s="123"/>
      <c r="CL161" s="123">
        <f t="shared" si="242"/>
        <v>0</v>
      </c>
      <c r="CM161" s="130"/>
      <c r="CN161" s="123">
        <f t="shared" si="243"/>
        <v>0</v>
      </c>
      <c r="CO161" s="123"/>
      <c r="CP161" s="123">
        <f t="shared" si="244"/>
        <v>0</v>
      </c>
      <c r="CQ161" s="123"/>
      <c r="CR161" s="123">
        <f t="shared" si="245"/>
        <v>0</v>
      </c>
      <c r="CS161" s="123"/>
      <c r="CT161" s="133">
        <f t="shared" si="246"/>
        <v>0</v>
      </c>
      <c r="CU161" s="127"/>
      <c r="CV161" s="123">
        <f t="shared" si="247"/>
        <v>0</v>
      </c>
      <c r="CW161" s="126">
        <f t="shared" si="248"/>
        <v>214</v>
      </c>
      <c r="CX161" s="126">
        <f t="shared" si="248"/>
        <v>32214309.287579991</v>
      </c>
    </row>
    <row r="162" spans="1:102" ht="30" customHeight="1" x14ac:dyDescent="0.25">
      <c r="A162" s="91"/>
      <c r="B162" s="116">
        <v>132</v>
      </c>
      <c r="C162" s="168" t="s">
        <v>413</v>
      </c>
      <c r="D162" s="161" t="s">
        <v>414</v>
      </c>
      <c r="E162" s="95">
        <v>28004</v>
      </c>
      <c r="F162" s="96">
        <v>29405</v>
      </c>
      <c r="G162" s="119">
        <v>2.56</v>
      </c>
      <c r="H162" s="110">
        <v>1.4</v>
      </c>
      <c r="I162" s="203"/>
      <c r="J162" s="203"/>
      <c r="K162" s="203"/>
      <c r="L162" s="63"/>
      <c r="M162" s="120">
        <v>1.4</v>
      </c>
      <c r="N162" s="120">
        <v>1.68</v>
      </c>
      <c r="O162" s="120">
        <v>2.23</v>
      </c>
      <c r="P162" s="121">
        <v>2.57</v>
      </c>
      <c r="Q162" s="122"/>
      <c r="R162" s="123">
        <f t="shared" si="208"/>
        <v>0</v>
      </c>
      <c r="S162" s="124"/>
      <c r="T162" s="125">
        <f t="shared" si="209"/>
        <v>0</v>
      </c>
      <c r="U162" s="123">
        <v>9</v>
      </c>
      <c r="V162" s="123">
        <f t="shared" si="210"/>
        <v>1766813.7446399997</v>
      </c>
      <c r="W162" s="123">
        <v>10</v>
      </c>
      <c r="X162" s="126">
        <f t="shared" si="211"/>
        <v>1963126.3829333333</v>
      </c>
      <c r="Y162" s="123"/>
      <c r="Z162" s="123">
        <f t="shared" si="212"/>
        <v>0</v>
      </c>
      <c r="AA162" s="123"/>
      <c r="AB162" s="123">
        <f t="shared" si="213"/>
        <v>0</v>
      </c>
      <c r="AC162" s="123"/>
      <c r="AD162" s="123"/>
      <c r="AE162" s="123"/>
      <c r="AF162" s="123">
        <f t="shared" si="214"/>
        <v>0</v>
      </c>
      <c r="AG162" s="123"/>
      <c r="AH162" s="126">
        <f t="shared" si="215"/>
        <v>0</v>
      </c>
      <c r="AI162" s="123"/>
      <c r="AJ162" s="123">
        <f t="shared" si="216"/>
        <v>0</v>
      </c>
      <c r="AK162" s="123">
        <v>6</v>
      </c>
      <c r="AL162" s="123">
        <f t="shared" si="217"/>
        <v>1361179.2445439999</v>
      </c>
      <c r="AM162" s="132"/>
      <c r="AN162" s="123">
        <f t="shared" si="218"/>
        <v>0</v>
      </c>
      <c r="AO162" s="130"/>
      <c r="AP162" s="127">
        <f t="shared" si="219"/>
        <v>0</v>
      </c>
      <c r="AQ162" s="127">
        <v>0</v>
      </c>
      <c r="AR162" s="127">
        <v>0</v>
      </c>
      <c r="AS162" s="123"/>
      <c r="AT162" s="123">
        <f t="shared" si="220"/>
        <v>0</v>
      </c>
      <c r="AU162" s="123"/>
      <c r="AV162" s="126">
        <f t="shared" si="221"/>
        <v>0</v>
      </c>
      <c r="AW162" s="123"/>
      <c r="AX162" s="123">
        <f t="shared" si="222"/>
        <v>0</v>
      </c>
      <c r="AY162" s="131"/>
      <c r="AZ162" s="123">
        <f t="shared" si="223"/>
        <v>0</v>
      </c>
      <c r="BA162" s="123">
        <v>3</v>
      </c>
      <c r="BB162" s="123">
        <f t="shared" si="224"/>
        <v>509230.20287999994</v>
      </c>
      <c r="BC162" s="123"/>
      <c r="BD162" s="126">
        <f t="shared" si="225"/>
        <v>0</v>
      </c>
      <c r="BE162" s="123">
        <v>1</v>
      </c>
      <c r="BF162" s="123">
        <f t="shared" si="226"/>
        <v>147542.52799999996</v>
      </c>
      <c r="BG162" s="123"/>
      <c r="BH162" s="123">
        <f t="shared" si="227"/>
        <v>0</v>
      </c>
      <c r="BI162" s="123"/>
      <c r="BJ162" s="126">
        <f t="shared" si="228"/>
        <v>0</v>
      </c>
      <c r="BK162" s="123"/>
      <c r="BL162" s="127">
        <f t="shared" si="229"/>
        <v>0</v>
      </c>
      <c r="BM162" s="123"/>
      <c r="BN162" s="123">
        <f t="shared" si="230"/>
        <v>0</v>
      </c>
      <c r="BO162" s="123"/>
      <c r="BP162" s="123">
        <f t="shared" si="231"/>
        <v>0</v>
      </c>
      <c r="BQ162" s="123"/>
      <c r="BR162" s="123">
        <f t="shared" si="232"/>
        <v>0</v>
      </c>
      <c r="BS162" s="123">
        <v>0</v>
      </c>
      <c r="BT162" s="123">
        <f t="shared" si="233"/>
        <v>0</v>
      </c>
      <c r="BU162" s="123"/>
      <c r="BV162" s="126">
        <f t="shared" si="234"/>
        <v>0</v>
      </c>
      <c r="BW162" s="123"/>
      <c r="BX162" s="123">
        <f t="shared" si="235"/>
        <v>0</v>
      </c>
      <c r="BY162" s="123"/>
      <c r="BZ162" s="123">
        <f t="shared" si="236"/>
        <v>0</v>
      </c>
      <c r="CA162" s="123">
        <v>1</v>
      </c>
      <c r="CB162" s="123">
        <f t="shared" si="237"/>
        <v>175645.10207999995</v>
      </c>
      <c r="CC162" s="123">
        <v>1</v>
      </c>
      <c r="CD162" s="123">
        <f t="shared" si="238"/>
        <v>146370.91839999997</v>
      </c>
      <c r="CE162" s="123"/>
      <c r="CF162" s="123">
        <f t="shared" si="239"/>
        <v>0</v>
      </c>
      <c r="CG162" s="132"/>
      <c r="CH162" s="123">
        <f t="shared" si="240"/>
        <v>0</v>
      </c>
      <c r="CI162" s="123"/>
      <c r="CJ162" s="127">
        <f t="shared" si="241"/>
        <v>0</v>
      </c>
      <c r="CK162" s="123"/>
      <c r="CL162" s="123">
        <f t="shared" si="242"/>
        <v>0</v>
      </c>
      <c r="CM162" s="130"/>
      <c r="CN162" s="123">
        <f t="shared" si="243"/>
        <v>0</v>
      </c>
      <c r="CO162" s="123"/>
      <c r="CP162" s="123">
        <f t="shared" si="244"/>
        <v>0</v>
      </c>
      <c r="CQ162" s="123"/>
      <c r="CR162" s="123">
        <f t="shared" si="245"/>
        <v>0</v>
      </c>
      <c r="CS162" s="123"/>
      <c r="CT162" s="133">
        <f t="shared" si="246"/>
        <v>0</v>
      </c>
      <c r="CU162" s="127"/>
      <c r="CV162" s="123">
        <f t="shared" si="247"/>
        <v>0</v>
      </c>
      <c r="CW162" s="126">
        <f t="shared" si="248"/>
        <v>31</v>
      </c>
      <c r="CX162" s="126">
        <f t="shared" si="248"/>
        <v>6069908.1234773314</v>
      </c>
    </row>
    <row r="163" spans="1:102" ht="16.5" customHeight="1" x14ac:dyDescent="0.25">
      <c r="A163" s="109">
        <v>18</v>
      </c>
      <c r="B163" s="164"/>
      <c r="C163" s="93" t="s">
        <v>415</v>
      </c>
      <c r="D163" s="164" t="s">
        <v>416</v>
      </c>
      <c r="E163" s="95">
        <v>28004</v>
      </c>
      <c r="F163" s="96">
        <v>29405</v>
      </c>
      <c r="G163" s="151">
        <v>1.69</v>
      </c>
      <c r="H163" s="166"/>
      <c r="I163" s="108"/>
      <c r="J163" s="108"/>
      <c r="K163" s="108"/>
      <c r="L163" s="111"/>
      <c r="M163" s="112">
        <v>1.4</v>
      </c>
      <c r="N163" s="112">
        <v>1.68</v>
      </c>
      <c r="O163" s="112">
        <v>2.23</v>
      </c>
      <c r="P163" s="113">
        <v>2.57</v>
      </c>
      <c r="Q163" s="103">
        <f>SUM(Q164:Q166)</f>
        <v>429</v>
      </c>
      <c r="R163" s="104">
        <f>SUM(R164:R166)</f>
        <v>30464741.273633331</v>
      </c>
      <c r="S163" s="114">
        <f t="shared" ref="S163:CD163" si="249">SUM(S164:S166)</f>
        <v>0</v>
      </c>
      <c r="T163" s="115">
        <f t="shared" si="249"/>
        <v>0</v>
      </c>
      <c r="U163" s="104">
        <f t="shared" si="249"/>
        <v>63</v>
      </c>
      <c r="V163" s="104">
        <f t="shared" si="249"/>
        <v>5337679.62084</v>
      </c>
      <c r="W163" s="104">
        <f t="shared" si="249"/>
        <v>0</v>
      </c>
      <c r="X163" s="104">
        <f t="shared" si="249"/>
        <v>0</v>
      </c>
      <c r="Y163" s="104">
        <f t="shared" si="249"/>
        <v>0</v>
      </c>
      <c r="Z163" s="104">
        <f t="shared" si="249"/>
        <v>0</v>
      </c>
      <c r="AA163" s="104">
        <f t="shared" si="249"/>
        <v>0</v>
      </c>
      <c r="AB163" s="104">
        <f t="shared" si="249"/>
        <v>0</v>
      </c>
      <c r="AC163" s="104">
        <f t="shared" si="249"/>
        <v>0</v>
      </c>
      <c r="AD163" s="104">
        <f t="shared" si="249"/>
        <v>0</v>
      </c>
      <c r="AE163" s="104">
        <f t="shared" si="249"/>
        <v>215</v>
      </c>
      <c r="AF163" s="105">
        <f t="shared" si="249"/>
        <v>14910695.783316666</v>
      </c>
      <c r="AG163" s="104">
        <f t="shared" si="249"/>
        <v>12</v>
      </c>
      <c r="AH163" s="104">
        <f t="shared" si="249"/>
        <v>832953.92847333348</v>
      </c>
      <c r="AI163" s="106">
        <f t="shared" si="249"/>
        <v>2</v>
      </c>
      <c r="AJ163" s="104">
        <f t="shared" si="249"/>
        <v>159024.32088666665</v>
      </c>
      <c r="AK163" s="104">
        <f t="shared" si="249"/>
        <v>0</v>
      </c>
      <c r="AL163" s="104">
        <f t="shared" si="249"/>
        <v>0</v>
      </c>
      <c r="AM163" s="104">
        <f t="shared" si="249"/>
        <v>0</v>
      </c>
      <c r="AN163" s="104">
        <f t="shared" si="249"/>
        <v>0</v>
      </c>
      <c r="AO163" s="106">
        <f t="shared" si="249"/>
        <v>0</v>
      </c>
      <c r="AP163" s="104">
        <f t="shared" si="249"/>
        <v>0</v>
      </c>
      <c r="AQ163" s="104">
        <v>3</v>
      </c>
      <c r="AR163" s="104">
        <v>182985.88999999998</v>
      </c>
      <c r="AS163" s="104">
        <f t="shared" si="249"/>
        <v>0</v>
      </c>
      <c r="AT163" s="104">
        <f t="shared" si="249"/>
        <v>0</v>
      </c>
      <c r="AU163" s="104">
        <f t="shared" si="249"/>
        <v>0</v>
      </c>
      <c r="AV163" s="104">
        <f t="shared" si="249"/>
        <v>0</v>
      </c>
      <c r="AW163" s="104">
        <f t="shared" si="249"/>
        <v>0</v>
      </c>
      <c r="AX163" s="104">
        <f t="shared" si="249"/>
        <v>0</v>
      </c>
      <c r="AY163" s="104">
        <f t="shared" si="249"/>
        <v>124</v>
      </c>
      <c r="AZ163" s="104">
        <f t="shared" si="249"/>
        <v>10305785.706216</v>
      </c>
      <c r="BA163" s="104">
        <f t="shared" si="249"/>
        <v>9</v>
      </c>
      <c r="BB163" s="104">
        <f t="shared" si="249"/>
        <v>662037.04727999994</v>
      </c>
      <c r="BC163" s="104">
        <f t="shared" si="249"/>
        <v>0</v>
      </c>
      <c r="BD163" s="104">
        <f t="shared" si="249"/>
        <v>0</v>
      </c>
      <c r="BE163" s="104">
        <f t="shared" si="249"/>
        <v>5</v>
      </c>
      <c r="BF163" s="104">
        <f t="shared" si="249"/>
        <v>307517.49</v>
      </c>
      <c r="BG163" s="104">
        <f t="shared" si="249"/>
        <v>0</v>
      </c>
      <c r="BH163" s="104">
        <f t="shared" si="249"/>
        <v>0</v>
      </c>
      <c r="BI163" s="104">
        <f t="shared" si="249"/>
        <v>3</v>
      </c>
      <c r="BJ163" s="104">
        <f t="shared" si="249"/>
        <v>265928.199264</v>
      </c>
      <c r="BK163" s="104">
        <f t="shared" si="249"/>
        <v>60</v>
      </c>
      <c r="BL163" s="104">
        <f t="shared" si="249"/>
        <v>5345263.6036800006</v>
      </c>
      <c r="BM163" s="104">
        <f t="shared" si="249"/>
        <v>0</v>
      </c>
      <c r="BN163" s="104">
        <f t="shared" si="249"/>
        <v>0</v>
      </c>
      <c r="BO163" s="104">
        <f t="shared" si="249"/>
        <v>1</v>
      </c>
      <c r="BP163" s="104">
        <f t="shared" si="249"/>
        <v>60188.212349999994</v>
      </c>
      <c r="BQ163" s="104">
        <f t="shared" si="249"/>
        <v>0</v>
      </c>
      <c r="BR163" s="104">
        <f t="shared" si="249"/>
        <v>0</v>
      </c>
      <c r="BS163" s="104">
        <f t="shared" si="249"/>
        <v>4</v>
      </c>
      <c r="BT163" s="104">
        <f t="shared" si="249"/>
        <v>299925.71335999994</v>
      </c>
      <c r="BU163" s="104">
        <f t="shared" si="249"/>
        <v>0</v>
      </c>
      <c r="BV163" s="104">
        <f t="shared" si="249"/>
        <v>0</v>
      </c>
      <c r="BW163" s="104">
        <f t="shared" si="249"/>
        <v>0</v>
      </c>
      <c r="BX163" s="104">
        <f t="shared" si="249"/>
        <v>0</v>
      </c>
      <c r="BY163" s="104">
        <f t="shared" si="249"/>
        <v>0</v>
      </c>
      <c r="BZ163" s="104">
        <f t="shared" si="249"/>
        <v>0</v>
      </c>
      <c r="CA163" s="104">
        <f t="shared" si="249"/>
        <v>5</v>
      </c>
      <c r="CB163" s="104">
        <f t="shared" si="249"/>
        <v>371569.68939999997</v>
      </c>
      <c r="CC163" s="104">
        <f t="shared" si="249"/>
        <v>0</v>
      </c>
      <c r="CD163" s="104">
        <f t="shared" si="249"/>
        <v>0</v>
      </c>
      <c r="CE163" s="104">
        <f t="shared" ref="CE163:CX163" si="250">SUM(CE164:CE166)</f>
        <v>0</v>
      </c>
      <c r="CF163" s="104">
        <f t="shared" si="250"/>
        <v>0</v>
      </c>
      <c r="CG163" s="104">
        <f t="shared" si="250"/>
        <v>0</v>
      </c>
      <c r="CH163" s="104">
        <f t="shared" si="250"/>
        <v>0</v>
      </c>
      <c r="CI163" s="104">
        <f t="shared" si="250"/>
        <v>0</v>
      </c>
      <c r="CJ163" s="104">
        <f t="shared" si="250"/>
        <v>0</v>
      </c>
      <c r="CK163" s="104">
        <f t="shared" si="250"/>
        <v>0</v>
      </c>
      <c r="CL163" s="104">
        <f t="shared" si="250"/>
        <v>0</v>
      </c>
      <c r="CM163" s="104">
        <f t="shared" si="250"/>
        <v>0</v>
      </c>
      <c r="CN163" s="104">
        <f t="shared" si="250"/>
        <v>0</v>
      </c>
      <c r="CO163" s="104">
        <f t="shared" si="250"/>
        <v>0</v>
      </c>
      <c r="CP163" s="104">
        <f t="shared" si="250"/>
        <v>0</v>
      </c>
      <c r="CQ163" s="104">
        <f t="shared" si="250"/>
        <v>0</v>
      </c>
      <c r="CR163" s="104">
        <f t="shared" si="250"/>
        <v>0</v>
      </c>
      <c r="CS163" s="104">
        <f t="shared" si="250"/>
        <v>7</v>
      </c>
      <c r="CT163" s="104">
        <f t="shared" si="250"/>
        <v>808031.63586166664</v>
      </c>
      <c r="CU163" s="104">
        <f t="shared" si="250"/>
        <v>0</v>
      </c>
      <c r="CV163" s="104">
        <f t="shared" si="250"/>
        <v>0</v>
      </c>
      <c r="CW163" s="104">
        <f t="shared" si="250"/>
        <v>942</v>
      </c>
      <c r="CX163" s="104">
        <f t="shared" si="250"/>
        <v>70314328.114561677</v>
      </c>
    </row>
    <row r="164" spans="1:102" ht="18.75" customHeight="1" x14ac:dyDescent="0.25">
      <c r="A164" s="91"/>
      <c r="B164" s="210">
        <v>133</v>
      </c>
      <c r="C164" s="117" t="s">
        <v>417</v>
      </c>
      <c r="D164" s="161" t="s">
        <v>418</v>
      </c>
      <c r="E164" s="95">
        <v>28004</v>
      </c>
      <c r="F164" s="96">
        <v>29405</v>
      </c>
      <c r="G164" s="119">
        <v>1.66</v>
      </c>
      <c r="H164" s="110">
        <v>0.95</v>
      </c>
      <c r="I164" s="110">
        <v>0.9</v>
      </c>
      <c r="J164" s="203"/>
      <c r="K164" s="203"/>
      <c r="L164" s="63"/>
      <c r="M164" s="120">
        <v>1.4</v>
      </c>
      <c r="N164" s="120">
        <v>1.68</v>
      </c>
      <c r="O164" s="120">
        <v>2.23</v>
      </c>
      <c r="P164" s="121">
        <v>2.57</v>
      </c>
      <c r="Q164" s="122">
        <v>200</v>
      </c>
      <c r="R164" s="123">
        <f>(Q164/12*2*$E164*$G164*$H164*$M164*$R$11)+(Q164/12*10*$F164*$G164*$I164*$M164*$R$11)</f>
        <v>13542639.777333334</v>
      </c>
      <c r="S164" s="124"/>
      <c r="T164" s="125">
        <f>(S164/12*2*$E164*$G164*$H164*$M164*$R$11)+(S164/12*10*$F164*$G164*$I164*$M164*$R$11)</f>
        <v>0</v>
      </c>
      <c r="U164" s="123">
        <v>9</v>
      </c>
      <c r="V164" s="123">
        <f>(U164/12*2*$E164*$G164*$H164*$M164*$V$11)+(U164/12*10*$F164*$G164*$I164*$M164*$V$12)</f>
        <v>743334.57806999993</v>
      </c>
      <c r="W164" s="123"/>
      <c r="X164" s="126">
        <f>(W164/12*2*$E164*$G164*$H164*$M164*$X$11)+(W164/12*10*$F164*$G164*$I164*$M164*$X$12)</f>
        <v>0</v>
      </c>
      <c r="Y164" s="123"/>
      <c r="Z164" s="123">
        <f>(Y164/12*2*$E164*$G164*$H164*$M164*$Z$11)+(Y164/12*10*$F164*$G164*$I164*$M164*$Z$12)</f>
        <v>0</v>
      </c>
      <c r="AA164" s="123"/>
      <c r="AB164" s="123">
        <f>(AA164/12*2*$E164*$G164*$H164*$M164*$AB$11)+(AA164/12*10*$F164*$G164*$I164*$M164*$AB$11)</f>
        <v>0</v>
      </c>
      <c r="AC164" s="123"/>
      <c r="AD164" s="123"/>
      <c r="AE164" s="123">
        <v>160</v>
      </c>
      <c r="AF164" s="127">
        <f>(AE164/12*2*$E164*$G164*$H164*$M164*$AF$11)+(AE164/12*10*$F164*$G164*$I164*$M164*$AF$11)</f>
        <v>10834111.821866667</v>
      </c>
      <c r="AG164" s="123">
        <v>2</v>
      </c>
      <c r="AH164" s="126">
        <f>(AG164/12*2*$E164*$G164*$H164*$M164*$AH$11)+(AG164/12*10*$F164*$G164*$I164*$M164*$AH$11)</f>
        <v>135426.39777333333</v>
      </c>
      <c r="AI164" s="130">
        <v>2</v>
      </c>
      <c r="AJ164" s="123">
        <f>(AI164/12*2*$E164*$G164*$H164*$M164*$AJ$11)+(AI164/12*5*$F164*$G164*$I164*$M164*$AJ$12)+(AI164/12*5*$F164*$G164*$I164*$M164*$AJ$13)</f>
        <v>159024.32088666665</v>
      </c>
      <c r="AK164" s="123"/>
      <c r="AL164" s="123">
        <f>(AK164/12*2*$E164*$G164*$H164*$N164*$AL$11)+(AK164/12*5*$F164*$G164*$I164*$N164*$AL$12)+(AK164/12*5*$F164*$G164*$I164*$N164*$AL$13)</f>
        <v>0</v>
      </c>
      <c r="AM164" s="132"/>
      <c r="AN164" s="123">
        <f>(AM164/12*2*$E164*$G164*$H164*$N164*$AN$11)+(AM164/12*10*$F164*$G164*$I164*$N164*$AN$12)</f>
        <v>0</v>
      </c>
      <c r="AO164" s="130"/>
      <c r="AP164" s="127">
        <f>(AO164/12*2*$E164*$G164*$H164*$N164*$AP$11)+(AO164/12*10*$F164*$G164*$I164*$N164*$AP$11)</f>
        <v>0</v>
      </c>
      <c r="AQ164" s="127">
        <v>3</v>
      </c>
      <c r="AR164" s="127">
        <v>182985.88999999998</v>
      </c>
      <c r="AS164" s="123"/>
      <c r="AT164" s="123"/>
      <c r="AU164" s="123"/>
      <c r="AV164" s="126"/>
      <c r="AW164" s="123"/>
      <c r="AX164" s="123">
        <f>(AW164/12*2*$E164*$G164*$H164*$M164*$AX$11)+(AW164/12*10*$F164*$G164*$I164*$M164*$AX$12)</f>
        <v>0</v>
      </c>
      <c r="AY164" s="123">
        <v>30</v>
      </c>
      <c r="AZ164" s="123">
        <f>(AY164/12*2*$E164*$G164*$H164*$N164*$AZ$11)+(AY164/12*10*$F164*$G164*$I164*$N164*$AZ$11)</f>
        <v>2437675.15992</v>
      </c>
      <c r="BA164" s="123"/>
      <c r="BB164" s="123">
        <f>(BA164/12*2*$E164*$G164*$H164*$N164*$BB$11)+(BA164/12*10*$F164*$G164*$I164*$N164*$BB$12)</f>
        <v>0</v>
      </c>
      <c r="BC164" s="123"/>
      <c r="BD164" s="126"/>
      <c r="BE164" s="123">
        <v>5</v>
      </c>
      <c r="BF164" s="123">
        <f>(BE164/12*10*$F164*$G164*$I164*$N164*$BF$12)</f>
        <v>307517.49</v>
      </c>
      <c r="BG164" s="123"/>
      <c r="BH164" s="123">
        <f>(BG164/12*2*$E164*$G164*$H164*$N164*$BH$11)+(BG164/12*10*$F164*$G164*$I164*$N164*$BH$11)</f>
        <v>0</v>
      </c>
      <c r="BI164" s="123">
        <v>3</v>
      </c>
      <c r="BJ164" s="126">
        <f>(BI164/12*2*$E164*$G164*$H164*$N164*$BJ$11)+(BI164/12*10*$F164*$G164*$I164*$N164*$BJ$11)</f>
        <v>265928.199264</v>
      </c>
      <c r="BK164" s="123">
        <v>50</v>
      </c>
      <c r="BL164" s="127">
        <f>(BK164/12*2*$E164*$G164*$H164*$N164*$BL$11)+(BK164/12*10*$F164*$G164*$I164*$N164*$BL$11)</f>
        <v>4432136.6544000003</v>
      </c>
      <c r="BM164" s="123"/>
      <c r="BN164" s="123">
        <f>(BM164/12*2*$E164*$G164*$H164*$M164*$BN$11)+(BM164/12*10*$F164*$G164*$I164*$M164*$BN$11)</f>
        <v>0</v>
      </c>
      <c r="BO164" s="123"/>
      <c r="BP164" s="123">
        <f>(BO164/12*2*$E164*$G164*$H164*$M164*$BP$11)+(BO164/12*10*$F164*$G164*$I164*$M164*$BP$12)</f>
        <v>0</v>
      </c>
      <c r="BQ164" s="123"/>
      <c r="BR164" s="123">
        <f>(BQ164/12*2*$E164*$G164*$H164*$M164*$BR$11)+(BQ164/12*10*$F164*$G164*$I164*$M164*$BR$11)</f>
        <v>0</v>
      </c>
      <c r="BS164" s="123">
        <v>2</v>
      </c>
      <c r="BT164" s="123">
        <f>(BS164/12*2*$E164*$G164*$H164*$N164*$BT$11)+(BS164/12*10*$F164*$G164*$I164*$N164*$BT$11)</f>
        <v>147737.88847999997</v>
      </c>
      <c r="BU164" s="123"/>
      <c r="BV164" s="126">
        <f>(BU164/12*2*$E164*$G164*$H164*$M164*$BV$11)+(BU164/12*10*$F164*$G164*$I164*$M164*$BV$11)</f>
        <v>0</v>
      </c>
      <c r="BW164" s="123"/>
      <c r="BX164" s="123">
        <f>(BW164/12*2*$E164*$G164*$H164*$M164*$BX$11)+(BW164/12*10*$F164*$G164*$I164*$M164*$BX$11)</f>
        <v>0</v>
      </c>
      <c r="BY164" s="123"/>
      <c r="BZ164" s="123">
        <f>(BY164/12*2*$E164*$G164*$H164*$M164*$BZ$11)+(BY164/12*10*$F164*$G164*$I164*$M164*$BZ$11)</f>
        <v>0</v>
      </c>
      <c r="CA164" s="123">
        <v>4</v>
      </c>
      <c r="CB164" s="123">
        <f>(CA164/12*2*$E164*$G164*$H164*$M164*$CB$11)+(CA164/12*10*$F164*$G164*$I164*$M164*$CB$11)</f>
        <v>295475.77695999999</v>
      </c>
      <c r="CC164" s="123"/>
      <c r="CD164" s="123">
        <f>(CC164/12*2*$E164*$G164*$H164*$M164*$CD$11)+(CC164/12*10*$F164*$G164*$I164*$M164*$CD$11)</f>
        <v>0</v>
      </c>
      <c r="CE164" s="123"/>
      <c r="CF164" s="123">
        <f>(CE164/12*10*$F164*$G164*$I164*$N164*$CF$11)</f>
        <v>0</v>
      </c>
      <c r="CG164" s="132"/>
      <c r="CH164" s="123">
        <f>(CG164/12*2*$E164*$G164*$H164*$N164*$CH$11)+(CG164/12*10*$F164*$G164*$I164*$N164*$CH$11)</f>
        <v>0</v>
      </c>
      <c r="CI164" s="123"/>
      <c r="CJ164" s="127"/>
      <c r="CK164" s="123"/>
      <c r="CL164" s="123">
        <f>(CK164/12*2*$E164*$G164*$H164*$N164*$CL$11)+(CK164/12*10*$F164*$G164*$I164*$N164*$CL$12)</f>
        <v>0</v>
      </c>
      <c r="CM164" s="130"/>
      <c r="CN164" s="123">
        <f>(CM164/12*2*$E164*$G164*$H164*$N164*$CN$11)+(CM164/12*10*$F164*$G164*$I164*$N164*$CN$11)</f>
        <v>0</v>
      </c>
      <c r="CO164" s="123"/>
      <c r="CP164" s="123">
        <f>(CO164/12*2*$E164*$G164*$H164*$N164*$CP$11)+(CO164/12*10*$F164*$G164*$I164*$N164*$CP$11)</f>
        <v>0</v>
      </c>
      <c r="CQ164" s="123"/>
      <c r="CR164" s="123">
        <f>(CQ164/12*2*$E164*$G164*$H164*$O164*$CR$11)+(CQ164/12*10*$F164*$G164*$I164*$O164*$CR$11)</f>
        <v>0</v>
      </c>
      <c r="CS164" s="123">
        <v>2</v>
      </c>
      <c r="CT164" s="133">
        <f>(CS164/12*2*$E164*$G164*$H164*$P164*$CT$11)+(CS164/12*10*$F164*$G164*$I164*$P164*$CT$11)</f>
        <v>226003.79368666664</v>
      </c>
      <c r="CU164" s="127"/>
      <c r="CV164" s="123"/>
      <c r="CW164" s="126">
        <f t="shared" ref="CW164:CX166" si="251">SUM(Q164,S164,U164,W164,Y164,AA164,AC164,AE164,AG164,AM164,BQ164,AI164,AU164,CC164,AW164,AY164,AK164,BC164,AO164,AQ164,BE164,CE164,BG164,BI164,BK164,BS164,BM164,BO164,BU164,BW164,BY164,CA164,CG164,BA164,AS164,CI164,CK164,CM164,CO164,CQ164,CS164,CU164)</f>
        <v>472</v>
      </c>
      <c r="CX164" s="126">
        <f t="shared" si="251"/>
        <v>33709997.748640671</v>
      </c>
    </row>
    <row r="165" spans="1:102" ht="30" customHeight="1" x14ac:dyDescent="0.25">
      <c r="A165" s="91"/>
      <c r="B165" s="210">
        <v>134</v>
      </c>
      <c r="C165" s="117" t="s">
        <v>419</v>
      </c>
      <c r="D165" s="161" t="s">
        <v>420</v>
      </c>
      <c r="E165" s="95">
        <v>28004</v>
      </c>
      <c r="F165" s="96">
        <v>29405</v>
      </c>
      <c r="G165" s="119">
        <v>1.82</v>
      </c>
      <c r="H165" s="107">
        <v>1</v>
      </c>
      <c r="I165" s="108"/>
      <c r="J165" s="108"/>
      <c r="K165" s="108"/>
      <c r="L165" s="63"/>
      <c r="M165" s="120">
        <v>1.4</v>
      </c>
      <c r="N165" s="120">
        <v>1.68</v>
      </c>
      <c r="O165" s="120">
        <v>2.23</v>
      </c>
      <c r="P165" s="121">
        <v>2.57</v>
      </c>
      <c r="Q165" s="122">
        <v>79</v>
      </c>
      <c r="R165" s="123">
        <f>(Q165/12*2*$E165*$G165*$H165*$M165*$R$11)+(Q165/12*10*$F165*$G165*$H165*$M165*$R$11)</f>
        <v>6459188.5357999997</v>
      </c>
      <c r="S165" s="124"/>
      <c r="T165" s="125">
        <f>(S165/12*2*$E165*$G165*$H165*$M165*$R$11)+(S165/12*10*$F165*$G165*$H165*$M165*$R$11)</f>
        <v>0</v>
      </c>
      <c r="U165" s="123"/>
      <c r="V165" s="123">
        <f>(U165/12*2*$E165*$G165*$H165*$M165*$V$11)+(U165/12*10*$F165*$G165*$H165*$M165*$V$12)</f>
        <v>0</v>
      </c>
      <c r="W165" s="123"/>
      <c r="X165" s="126">
        <f>(W165/12*2*$E165*$G165*$H165*$M165*$X$11)+(W165/12*10*$F165*$G165*$H165*$M165*$X$12)</f>
        <v>0</v>
      </c>
      <c r="Y165" s="123"/>
      <c r="Z165" s="123">
        <f>(Y165/12*2*$E165*$G165*$H165*$M165*$Z$11)+(Y165/12*10*$F165*$G165*$H165*$M165*$Z$12)</f>
        <v>0</v>
      </c>
      <c r="AA165" s="123"/>
      <c r="AB165" s="123">
        <f>(AA165/12*2*$E165*$G165*$H165*$M165*$AB$11)+(AA165/12*10*$F165*$G165*$H165*$M165*$AB$11)</f>
        <v>0</v>
      </c>
      <c r="AC165" s="123"/>
      <c r="AD165" s="123"/>
      <c r="AE165" s="123">
        <v>20</v>
      </c>
      <c r="AF165" s="123">
        <f>(AE165/12*2*$E165*$G165*$H165*$M165*$AF$11)+(AE165/12*10*$F165*$G165*$H165*$M165*$AF$11)</f>
        <v>1635237.6040000001</v>
      </c>
      <c r="AG165" s="135">
        <v>0</v>
      </c>
      <c r="AH165" s="136">
        <f>(AG165/12*2*$E165*$G165*$H165*$M165*$AH$11)+(AG165/12*10*$F165*$G165*$H165*$M165*$AH$11)</f>
        <v>0</v>
      </c>
      <c r="AI165" s="123"/>
      <c r="AJ165" s="123">
        <f>(AI165/12*2*$E165*$G165*$H165*$M165*$AJ$11)+(AI165/12*5*$F165*$G165*$H165*$M165*$AJ$12)+(AI165/12*5*$F165*$G165*$H165*$M165*$AJ$13)</f>
        <v>0</v>
      </c>
      <c r="AK165" s="123"/>
      <c r="AL165" s="123">
        <f>(AK165/12*2*$E165*$G165*$H165*$N165*$AL$11)+(AK165/12*5*$F165*$G165*$H165*$N165*$AL$12)++(AK165/12*5*$F165*$G165*$H165*$N165*$AL$13)</f>
        <v>0</v>
      </c>
      <c r="AM165" s="132"/>
      <c r="AN165" s="123">
        <f>(AM165/12*2*$E165*$G165*$H165*$N165*$AN$11)+(AM165/12*10*$F165*$G165*$H165*$N165*$AN$12)</f>
        <v>0</v>
      </c>
      <c r="AO165" s="130"/>
      <c r="AP165" s="127">
        <f>(AO165/12*2*$E165*$G165*$H165*$N165*$AP$11)+(AO165/12*10*$F165*$G165*$H165*$N165*$AP$11)</f>
        <v>0</v>
      </c>
      <c r="AQ165" s="127">
        <v>0</v>
      </c>
      <c r="AR165" s="127">
        <v>0</v>
      </c>
      <c r="AS165" s="123"/>
      <c r="AT165" s="123">
        <f>(AS165/12*2*$E165*$G165*$H165*$M165*$AT$11)+(AS165/12*10*$F165*$G165*$H165*$M165*$AT$11)</f>
        <v>0</v>
      </c>
      <c r="AU165" s="123"/>
      <c r="AV165" s="126">
        <f>(AU165/12*2*$E165*$G165*$H165*$M165*$AV$11)+(AU165/12*10*$F165*$G165*$H165*$M165*$AV$12)</f>
        <v>0</v>
      </c>
      <c r="AW165" s="123"/>
      <c r="AX165" s="123">
        <f>(AW165/12*2*$E165*$G165*$H165*$M165*$AX$11)+(AW165/12*10*$F165*$G165*$H165*$M165*$AX$12)</f>
        <v>0</v>
      </c>
      <c r="AY165" s="123">
        <v>0</v>
      </c>
      <c r="AZ165" s="123">
        <f>(AY165/12*2*$E165*$G165*$H165*$N165*$AZ$11)+(AY165/12*10*$F165*$G165*$H165*$N165*$AZ$11)</f>
        <v>0</v>
      </c>
      <c r="BA165" s="123"/>
      <c r="BB165" s="123">
        <f>(BA165/12*2*$E165*$G165*$H165*$N165*$BB$11)+(BA165/12*10*$F165*$G165*$H165*$N165*$BB$12)</f>
        <v>0</v>
      </c>
      <c r="BC165" s="123"/>
      <c r="BD165" s="126">
        <f>(BC165/12*2*$E165*$G165*$H165*$N165*$BD$11)+(BC165/12*10*$F165*$G165*$H165*$N165*$BD$12)</f>
        <v>0</v>
      </c>
      <c r="BE165" s="123"/>
      <c r="BF165" s="123">
        <f>(BE165/12*10*$F165*$G165*$H165*$N165*$BF$12)</f>
        <v>0</v>
      </c>
      <c r="BG165" s="123"/>
      <c r="BH165" s="123">
        <f>(BG165/12*2*$E165*$G165*$H165*$N165*$BH$11)+(BG165/12*10*$F165*$G165*$H165*$N165*$BH$11)</f>
        <v>0</v>
      </c>
      <c r="BI165" s="123"/>
      <c r="BJ165" s="126">
        <f>(BI165/12*2*$E165*$G165*$H165*$N165*$BJ$11)+(BI165/12*10*$F165*$G165*$H165*$N165*$BJ$11)</f>
        <v>0</v>
      </c>
      <c r="BK165" s="123"/>
      <c r="BL165" s="127">
        <f>(BK165/12*2*$E165*$G165*$H165*$N165*$BL$11)+(BK165/12*10*$F165*$G165*$H165*$N165*$BL$11)</f>
        <v>0</v>
      </c>
      <c r="BM165" s="123"/>
      <c r="BN165" s="123">
        <f>(BM165/12*2*$E165*$G165*$H165*$M165*$BN$11)+(BM165/12*10*$F165*$G165*$H165*$M165*$BN$11)</f>
        <v>0</v>
      </c>
      <c r="BO165" s="123"/>
      <c r="BP165" s="123">
        <f>(BO165/12*2*$E165*$G165*$H165*$M165*$BP$11)+(BO165/12*10*$F165*$G165*$H165*$M165*$BP$12)</f>
        <v>0</v>
      </c>
      <c r="BQ165" s="123"/>
      <c r="BR165" s="123">
        <f>(BQ165/12*2*$E165*$G165*$H165*$M165*$BR$11)+(BQ165/12*10*$F165*$G165*$H165*$M165*$BR$11)</f>
        <v>0</v>
      </c>
      <c r="BS165" s="123">
        <v>0</v>
      </c>
      <c r="BT165" s="123">
        <f>(BS165/12*2*$E165*$G165*$H165*$N165*$BT$11)+(BS165/12*10*$F165*$G165*$H165*$N165*$BT$11)</f>
        <v>0</v>
      </c>
      <c r="BU165" s="123"/>
      <c r="BV165" s="126">
        <f>(BU165/12*2*$E165*$G165*$H165*$M165*$BV$11)+(BU165/12*10*$F165*$G165*$H165*$M165*$BV$11)</f>
        <v>0</v>
      </c>
      <c r="BW165" s="123"/>
      <c r="BX165" s="123">
        <f>(BW165/12*2*$E165*$G165*$H165*$M165*$BX$11)+(BW165/12*10*$F165*$G165*$H165*$M165*$BX$11)</f>
        <v>0</v>
      </c>
      <c r="BY165" s="123"/>
      <c r="BZ165" s="123">
        <f>(BY165/12*2*$E165*$G165*$H165*$M165*$BZ$11)+(BY165/12*10*$F165*$G165*$H165*$M165*$BZ$11)</f>
        <v>0</v>
      </c>
      <c r="CA165" s="123"/>
      <c r="CB165" s="123">
        <f>(CA165/12*2*$E165*$G165*$H165*$M165*$CB$11)+(CA165/12*10*$F165*$G165*$H165*$M165*$CB$11)</f>
        <v>0</v>
      </c>
      <c r="CC165" s="123"/>
      <c r="CD165" s="123">
        <f>(CC165/12*2*$E165*$G165*$H165*$M165*$CD$11)+(CC165/12*10*$F165*$G165*$H165*$M165*$CD$11)</f>
        <v>0</v>
      </c>
      <c r="CE165" s="123"/>
      <c r="CF165" s="123">
        <f>(CE165/12*10*$F165*$G165*$H165*$N165*$CF$11)</f>
        <v>0</v>
      </c>
      <c r="CG165" s="132"/>
      <c r="CH165" s="123">
        <f>(CG165/12*2*$E165*$G165*$H165*$N165*$CH$11)+(CG165/12*10*$F165*$G165*$H165*$N165*$CH$11)</f>
        <v>0</v>
      </c>
      <c r="CI165" s="123"/>
      <c r="CJ165" s="127">
        <f>(CI165*$E165*$G165*$H165*$N165*CJ$11)</f>
        <v>0</v>
      </c>
      <c r="CK165" s="123"/>
      <c r="CL165" s="123">
        <f>(CK165/12*2*$E165*$G165*$H165*$N165*$CL$11)+(CK165/12*10*$F165*$G165*$H165*$N165*$CL$12)</f>
        <v>0</v>
      </c>
      <c r="CM165" s="130"/>
      <c r="CN165" s="123">
        <f>(CM165/12*2*$E165*$G165*$H165*$N165*$CN$11)+(CM165/12*10*$F165*$G165*$H165*$N165*$CN$11)</f>
        <v>0</v>
      </c>
      <c r="CO165" s="123"/>
      <c r="CP165" s="123">
        <f>(CO165/12*2*$E165*$G165*$H165*$N165*$CP$11)+(CO165/12*10*$F165*$G165*$H165*$N165*$CP$11)</f>
        <v>0</v>
      </c>
      <c r="CQ165" s="123"/>
      <c r="CR165" s="123">
        <f>(CQ165/12*2*$E165*$G165*$H165*$O165*$CR$11)+(CQ165/12*10*$F165*$G165*$H165*$O165*$CR$11)</f>
        <v>0</v>
      </c>
      <c r="CS165" s="123"/>
      <c r="CT165" s="133">
        <f>(CS165/12*2*$E165*$G165*$H165*$P165*$CT$11)+(CS165/12*10*$F165*$G165*$H165*$P165*$CT$11)</f>
        <v>0</v>
      </c>
      <c r="CU165" s="127"/>
      <c r="CV165" s="123">
        <f>(CU165*$E165*$G165*$H165*$M165*CV$11)/12*6+(CU165*$E165*$G165*$H165*1*CV$11)/12*6</f>
        <v>0</v>
      </c>
      <c r="CW165" s="126">
        <f t="shared" si="251"/>
        <v>99</v>
      </c>
      <c r="CX165" s="126">
        <f t="shared" si="251"/>
        <v>8094426.1398</v>
      </c>
    </row>
    <row r="166" spans="1:102" ht="19.5" customHeight="1" x14ac:dyDescent="0.25">
      <c r="A166" s="91"/>
      <c r="B166" s="210">
        <v>135</v>
      </c>
      <c r="C166" s="117" t="s">
        <v>421</v>
      </c>
      <c r="D166" s="161" t="s">
        <v>422</v>
      </c>
      <c r="E166" s="95">
        <v>28004</v>
      </c>
      <c r="F166" s="96">
        <v>29405</v>
      </c>
      <c r="G166" s="119">
        <v>1.71</v>
      </c>
      <c r="H166" s="110">
        <v>0.95</v>
      </c>
      <c r="I166" s="110">
        <v>0.9</v>
      </c>
      <c r="J166" s="108"/>
      <c r="K166" s="108"/>
      <c r="L166" s="63"/>
      <c r="M166" s="120">
        <v>1.4</v>
      </c>
      <c r="N166" s="120">
        <v>1.68</v>
      </c>
      <c r="O166" s="120">
        <v>2.23</v>
      </c>
      <c r="P166" s="121">
        <v>2.57</v>
      </c>
      <c r="Q166" s="122">
        <v>150</v>
      </c>
      <c r="R166" s="123">
        <f>(Q166/12*2*$E166*$G166*$H166*$M166*$R$11)+(Q166/12*10*$F166*$G166*$I166*$M166*$R$11)</f>
        <v>10462912.9605</v>
      </c>
      <c r="S166" s="124"/>
      <c r="T166" s="125">
        <f>(S166/12*2*$E166*$G166*$H166*$M166*$R$11)+(S166/12*10*$F166*$G166*$I166*$M166*$R$11)</f>
        <v>0</v>
      </c>
      <c r="U166" s="123">
        <f>36+18</f>
        <v>54</v>
      </c>
      <c r="V166" s="123">
        <f>(U166/12*2*$E166*$G166*$H166*$M166*$V$11)+(U166/12*10*$F166*$G166*$I166*$M166*$V$12)</f>
        <v>4594345.0427700002</v>
      </c>
      <c r="W166" s="123"/>
      <c r="X166" s="126">
        <f>(W166/12*2*$E166*$G166*$H166*$M166*$X$11)+(W166/12*10*$F166*$G166*$I166*$M166*$X$12)</f>
        <v>0</v>
      </c>
      <c r="Y166" s="123"/>
      <c r="Z166" s="123">
        <f>(Y166/12*2*$E166*$G166*$H166*$M166*$Z$11)+(Y166/12*10*$F166*$G166*$I166*$M166*$Z$12)</f>
        <v>0</v>
      </c>
      <c r="AA166" s="123"/>
      <c r="AB166" s="123">
        <f>(AA166/12*2*$E166*$G166*$H166*$M166*$AB$11)+(AA166/12*10*$F166*$G166*$I166*$M166*$AB$11)</f>
        <v>0</v>
      </c>
      <c r="AC166" s="123"/>
      <c r="AD166" s="123"/>
      <c r="AE166" s="123">
        <v>35</v>
      </c>
      <c r="AF166" s="127">
        <f>(AE166/12*2*$E166*$G166*$H166*$M166*$AF$11)+(AE166/12*10*$F166*$G166*$I166*$M166*$AF$11)</f>
        <v>2441346.3574499995</v>
      </c>
      <c r="AG166" s="123">
        <v>10</v>
      </c>
      <c r="AH166" s="126">
        <f>(AG166/12*2*$E166*$G166*$H166*$M166*$AH$11)+(AG166/12*10*$F166*$G166*$I166*$M166*$AH$11)</f>
        <v>697527.53070000012</v>
      </c>
      <c r="AI166" s="130"/>
      <c r="AJ166" s="123">
        <f>(AI166/12*2*$E166*$G166*$H166*$M166*$AJ$11)+(AI166/12*5*$F166*$G166*$I166*$M166*$AJ$12)+(AI166/12*5*$F166*$G166*$I166*$M166*$AJ$13)</f>
        <v>0</v>
      </c>
      <c r="AK166" s="123"/>
      <c r="AL166" s="123">
        <f>(AK166/12*2*$E166*$G166*$H166*$N166*$AL$11)+(AK166/12*5*$F166*$G166*$I166*$N166*$AL$12)+(AK166/12*5*$F166*$G166*$I166*$N166*$AL$13)</f>
        <v>0</v>
      </c>
      <c r="AM166" s="132"/>
      <c r="AN166" s="123">
        <f>(AM166/12*2*$E166*$G166*$H166*$N166*$AN$11)+(AM166/12*10*$F166*$G166*$I166*$N166*$AN$12)</f>
        <v>0</v>
      </c>
      <c r="AO166" s="130"/>
      <c r="AP166" s="127">
        <f>(AO166/12*2*$E166*$G166*$H166*$N166*$AP$11)+(AO166/12*10*$F166*$G166*$I166*$N166*$AP$11)</f>
        <v>0</v>
      </c>
      <c r="AQ166" s="127">
        <v>0</v>
      </c>
      <c r="AR166" s="127">
        <v>0</v>
      </c>
      <c r="AS166" s="123"/>
      <c r="AT166" s="123"/>
      <c r="AU166" s="123"/>
      <c r="AV166" s="126"/>
      <c r="AW166" s="123"/>
      <c r="AX166" s="123">
        <f>(AW166/12*2*$E166*$G166*$H166*$M166*$AX$11)+(AW166/12*10*$F166*$G166*$I166*$M166*$AX$12)</f>
        <v>0</v>
      </c>
      <c r="AY166" s="123">
        <v>94</v>
      </c>
      <c r="AZ166" s="123">
        <f>(AY166/12*2*$E166*$G166*$H166*$N166*$AZ$11)+(AY166/12*10*$F166*$G166*$I166*$N166*$AZ$11)</f>
        <v>7868110.5462959995</v>
      </c>
      <c r="BA166" s="123">
        <v>9</v>
      </c>
      <c r="BB166" s="123">
        <f>(BA166/12*2*$E166*$G166*$H166*$N166*$BB$11)+(BA166/12*10*$F166*$G166*$I166*$N166*$BB$12)</f>
        <v>662037.04727999994</v>
      </c>
      <c r="BC166" s="123"/>
      <c r="BD166" s="126"/>
      <c r="BE166" s="123"/>
      <c r="BF166" s="123">
        <f>(BE166/12*10*$F166*$G166*$I166*$N166*$BF$12)</f>
        <v>0</v>
      </c>
      <c r="BG166" s="123"/>
      <c r="BH166" s="123">
        <f>(BG166/12*2*$E166*$G166*$H166*$N166*$BH$11)+(BG166/12*10*$F166*$G166*$I166*$N166*$BH$11)</f>
        <v>0</v>
      </c>
      <c r="BI166" s="123"/>
      <c r="BJ166" s="126">
        <f>(BI166/12*2*$E166*$G166*$H166*$N166*$BJ$11)+(BI166/12*10*$F166*$G166*$I166*$N166*$BJ$11)</f>
        <v>0</v>
      </c>
      <c r="BK166" s="123">
        <v>10</v>
      </c>
      <c r="BL166" s="127">
        <f>(BK166/12*2*$E166*$G166*$H166*$N166*$BL$11)+(BK166/12*10*$F166*$G166*$I166*$N166*$BL$11)</f>
        <v>913126.94927999994</v>
      </c>
      <c r="BM166" s="123"/>
      <c r="BN166" s="123">
        <f>(BM166/12*2*$E166*$G166*$H166*$M166*$BN$11)+(BM166/12*10*$F166*$G166*$I166*$M166*$BN$11)</f>
        <v>0</v>
      </c>
      <c r="BO166" s="123">
        <v>1</v>
      </c>
      <c r="BP166" s="123">
        <f>(BO166*$F166*$G166*$H166*$M166*$BP$12)</f>
        <v>60188.212349999994</v>
      </c>
      <c r="BQ166" s="123"/>
      <c r="BR166" s="123">
        <f>(BQ166/12*2*$E166*$G166*$H166*$M166*$BR$11)+(BQ166/12*10*$F166*$G166*$I166*$M166*$BR$11)</f>
        <v>0</v>
      </c>
      <c r="BS166" s="123">
        <v>2</v>
      </c>
      <c r="BT166" s="123">
        <f>(BS166/12*2*$E166*$G166*$H166*$N166*$BT$11)+(BS166/12*10*$F166*$G166*$I166*$N166*$BT$11)</f>
        <v>152187.82487999997</v>
      </c>
      <c r="BU166" s="123"/>
      <c r="BV166" s="126">
        <f>(BU166/12*2*$E166*$G166*$H166*$M166*$BV$11)+(BU166/12*10*$F166*$G166*$I166*$M166*$BV$11)</f>
        <v>0</v>
      </c>
      <c r="BW166" s="123"/>
      <c r="BX166" s="123">
        <f>(BW166/12*2*$E166*$G166*$H166*$M166*$BX$11)+(BW166/12*10*$F166*$G166*$I166*$M166*$BX$11)</f>
        <v>0</v>
      </c>
      <c r="BY166" s="123"/>
      <c r="BZ166" s="123">
        <f>(BY166/12*2*$E166*$G166*$H166*$M166*$BZ$11)+(BY166/12*10*$F166*$G166*$I166*$M166*$BZ$11)</f>
        <v>0</v>
      </c>
      <c r="CA166" s="123">
        <v>1</v>
      </c>
      <c r="CB166" s="123">
        <f>(CA166/12*2*$E166*$G166*$H166*$M166*$CB$11)+(CA166/12*10*$F166*$G166*$I166*$M166*$CB$11)</f>
        <v>76093.912439999971</v>
      </c>
      <c r="CC166" s="123"/>
      <c r="CD166" s="123">
        <f>(CC166/12*2*$E166*$G166*$H166*$M166*$CD$11)+(CC166/12*10*$F166*$G166*$I166*$M166*$CD$11)</f>
        <v>0</v>
      </c>
      <c r="CE166" s="123"/>
      <c r="CF166" s="123">
        <f>(CE166/12*10*$F166*$G166*$I166*$N166*$CF$11)</f>
        <v>0</v>
      </c>
      <c r="CG166" s="132"/>
      <c r="CH166" s="123">
        <f>(CG166/12*2*$E166*$G166*$H166*$N166*$CH$11)+(CG166/12*10*$F166*$G166*$I166*$N166*$CH$11)</f>
        <v>0</v>
      </c>
      <c r="CI166" s="123"/>
      <c r="CJ166" s="127"/>
      <c r="CK166" s="123"/>
      <c r="CL166" s="123">
        <f>(CK166/12*2*$E166*$G166*$H166*$N166*$CL$11)+(CK166/12*10*$F166*$G166*$I166*$N166*$CL$12)</f>
        <v>0</v>
      </c>
      <c r="CM166" s="130"/>
      <c r="CN166" s="123">
        <f>(CM166/12*2*$E166*$G166*$H166*$N166*$CN$11)+(CM166/12*10*$F166*$G166*$I166*$N166*$CN$11)</f>
        <v>0</v>
      </c>
      <c r="CO166" s="123"/>
      <c r="CP166" s="123">
        <f>(CO166/12*2*$E166*$G166*$H166*$N166*$CP$11)+(CO166/12*10*$F166*$G166*$I166*$N166*$CP$11)</f>
        <v>0</v>
      </c>
      <c r="CQ166" s="123"/>
      <c r="CR166" s="123">
        <f>(CQ166/12*2*$E166*$G166*$H166*$O166*$CR$11)+(CQ166/12*10*$F166*$G166*$I166*$O166*$CR$11)</f>
        <v>0</v>
      </c>
      <c r="CS166" s="123">
        <v>5</v>
      </c>
      <c r="CT166" s="133">
        <f>(CS166/12*2*$E166*$G166*$H166*$P166*$CT$11)+(CS166/12*10*$F166*$G166*$I166*$P166*$CT$11)</f>
        <v>582027.842175</v>
      </c>
      <c r="CU166" s="127"/>
      <c r="CV166" s="123"/>
      <c r="CW166" s="126">
        <f t="shared" si="251"/>
        <v>371</v>
      </c>
      <c r="CX166" s="126">
        <f t="shared" si="251"/>
        <v>28509904.226121001</v>
      </c>
    </row>
    <row r="167" spans="1:102" ht="15.75" customHeight="1" x14ac:dyDescent="0.25">
      <c r="A167" s="109">
        <v>19</v>
      </c>
      <c r="B167" s="164"/>
      <c r="C167" s="93" t="s">
        <v>423</v>
      </c>
      <c r="D167" s="164" t="s">
        <v>424</v>
      </c>
      <c r="E167" s="95">
        <v>28004</v>
      </c>
      <c r="F167" s="96">
        <v>29405</v>
      </c>
      <c r="G167" s="151">
        <v>4.26</v>
      </c>
      <c r="H167" s="166"/>
      <c r="I167" s="108"/>
      <c r="J167" s="108"/>
      <c r="K167" s="108"/>
      <c r="L167" s="111"/>
      <c r="M167" s="112">
        <v>1.4</v>
      </c>
      <c r="N167" s="112">
        <v>1.68</v>
      </c>
      <c r="O167" s="112">
        <v>2.23</v>
      </c>
      <c r="P167" s="113">
        <v>2.57</v>
      </c>
      <c r="Q167" s="103">
        <f>SUM(Q168:Q275)</f>
        <v>1318</v>
      </c>
      <c r="R167" s="104">
        <f>SUM(R168:R275)</f>
        <v>282398265.05748039</v>
      </c>
      <c r="S167" s="114">
        <f t="shared" ref="S167:CD167" si="252">SUM(S168:S275)</f>
        <v>34</v>
      </c>
      <c r="T167" s="115">
        <f t="shared" si="252"/>
        <v>5758845.6527084606</v>
      </c>
      <c r="U167" s="104">
        <f t="shared" si="252"/>
        <v>36</v>
      </c>
      <c r="V167" s="104">
        <f t="shared" si="252"/>
        <v>4907815.9573333338</v>
      </c>
      <c r="W167" s="104">
        <f t="shared" si="252"/>
        <v>0</v>
      </c>
      <c r="X167" s="104">
        <f t="shared" si="252"/>
        <v>0</v>
      </c>
      <c r="Y167" s="104">
        <f t="shared" si="252"/>
        <v>6822</v>
      </c>
      <c r="Z167" s="104">
        <f t="shared" si="252"/>
        <v>795745753.15866125</v>
      </c>
      <c r="AA167" s="104">
        <f t="shared" si="252"/>
        <v>0</v>
      </c>
      <c r="AB167" s="104">
        <f t="shared" si="252"/>
        <v>0</v>
      </c>
      <c r="AC167" s="104">
        <f t="shared" si="252"/>
        <v>0</v>
      </c>
      <c r="AD167" s="104">
        <f t="shared" si="252"/>
        <v>0</v>
      </c>
      <c r="AE167" s="104">
        <f t="shared" si="252"/>
        <v>56</v>
      </c>
      <c r="AF167" s="105">
        <f t="shared" si="252"/>
        <v>10034698.4507</v>
      </c>
      <c r="AG167" s="104">
        <f t="shared" si="252"/>
        <v>72</v>
      </c>
      <c r="AH167" s="104">
        <f t="shared" si="252"/>
        <v>9952038.0883000009</v>
      </c>
      <c r="AI167" s="106">
        <f t="shared" si="252"/>
        <v>0</v>
      </c>
      <c r="AJ167" s="104">
        <f t="shared" si="252"/>
        <v>0</v>
      </c>
      <c r="AK167" s="104">
        <f t="shared" si="252"/>
        <v>0</v>
      </c>
      <c r="AL167" s="104">
        <f t="shared" si="252"/>
        <v>0</v>
      </c>
      <c r="AM167" s="104">
        <f t="shared" si="252"/>
        <v>3913</v>
      </c>
      <c r="AN167" s="104">
        <f t="shared" si="252"/>
        <v>455527332.86075574</v>
      </c>
      <c r="AO167" s="106">
        <f t="shared" si="252"/>
        <v>0</v>
      </c>
      <c r="AP167" s="104">
        <f t="shared" si="252"/>
        <v>0</v>
      </c>
      <c r="AQ167" s="104">
        <v>0</v>
      </c>
      <c r="AR167" s="104">
        <v>0</v>
      </c>
      <c r="AS167" s="104">
        <f t="shared" si="252"/>
        <v>0</v>
      </c>
      <c r="AT167" s="104">
        <f t="shared" si="252"/>
        <v>0</v>
      </c>
      <c r="AU167" s="104">
        <f t="shared" si="252"/>
        <v>0</v>
      </c>
      <c r="AV167" s="104">
        <f t="shared" si="252"/>
        <v>0</v>
      </c>
      <c r="AW167" s="104">
        <f t="shared" si="252"/>
        <v>0</v>
      </c>
      <c r="AX167" s="104">
        <f t="shared" si="252"/>
        <v>0</v>
      </c>
      <c r="AY167" s="104">
        <f t="shared" si="252"/>
        <v>0</v>
      </c>
      <c r="AZ167" s="104">
        <f t="shared" si="252"/>
        <v>0</v>
      </c>
      <c r="BA167" s="104">
        <f t="shared" si="252"/>
        <v>0</v>
      </c>
      <c r="BB167" s="104">
        <f t="shared" si="252"/>
        <v>0</v>
      </c>
      <c r="BC167" s="104">
        <f t="shared" si="252"/>
        <v>3</v>
      </c>
      <c r="BD167" s="104">
        <f t="shared" si="252"/>
        <v>571178.96639999992</v>
      </c>
      <c r="BE167" s="104">
        <f t="shared" si="252"/>
        <v>0</v>
      </c>
      <c r="BF167" s="104">
        <f t="shared" si="252"/>
        <v>0</v>
      </c>
      <c r="BG167" s="104">
        <f t="shared" si="252"/>
        <v>0</v>
      </c>
      <c r="BH167" s="104">
        <f t="shared" si="252"/>
        <v>0</v>
      </c>
      <c r="BI167" s="104">
        <f t="shared" si="252"/>
        <v>0</v>
      </c>
      <c r="BJ167" s="104">
        <f t="shared" si="252"/>
        <v>0</v>
      </c>
      <c r="BK167" s="104">
        <f t="shared" si="252"/>
        <v>0</v>
      </c>
      <c r="BL167" s="104">
        <f t="shared" si="252"/>
        <v>0</v>
      </c>
      <c r="BM167" s="104">
        <f t="shared" si="252"/>
        <v>0</v>
      </c>
      <c r="BN167" s="104">
        <f t="shared" si="252"/>
        <v>0</v>
      </c>
      <c r="BO167" s="104">
        <f t="shared" si="252"/>
        <v>0</v>
      </c>
      <c r="BP167" s="104">
        <f t="shared" si="252"/>
        <v>0</v>
      </c>
      <c r="BQ167" s="104">
        <f t="shared" si="252"/>
        <v>0</v>
      </c>
      <c r="BR167" s="104">
        <f t="shared" si="252"/>
        <v>0</v>
      </c>
      <c r="BS167" s="104">
        <f t="shared" si="252"/>
        <v>0</v>
      </c>
      <c r="BT167" s="104">
        <f t="shared" si="252"/>
        <v>0</v>
      </c>
      <c r="BU167" s="104">
        <f t="shared" si="252"/>
        <v>0</v>
      </c>
      <c r="BV167" s="104">
        <f t="shared" si="252"/>
        <v>0</v>
      </c>
      <c r="BW167" s="104">
        <f t="shared" si="252"/>
        <v>0</v>
      </c>
      <c r="BX167" s="104">
        <f t="shared" si="252"/>
        <v>0</v>
      </c>
      <c r="BY167" s="104">
        <f t="shared" si="252"/>
        <v>0</v>
      </c>
      <c r="BZ167" s="104">
        <f t="shared" si="252"/>
        <v>0</v>
      </c>
      <c r="CA167" s="104">
        <f>SUM(CA168:CA275)</f>
        <v>0</v>
      </c>
      <c r="CB167" s="104">
        <f t="shared" si="252"/>
        <v>0</v>
      </c>
      <c r="CC167" s="104">
        <f t="shared" si="252"/>
        <v>1</v>
      </c>
      <c r="CD167" s="104">
        <f t="shared" si="252"/>
        <v>140081.54299999998</v>
      </c>
      <c r="CE167" s="104">
        <f t="shared" ref="CE167:CW167" si="253">SUM(CE168:CE275)</f>
        <v>0</v>
      </c>
      <c r="CF167" s="104">
        <f t="shared" si="253"/>
        <v>0</v>
      </c>
      <c r="CG167" s="104">
        <f t="shared" si="253"/>
        <v>0</v>
      </c>
      <c r="CH167" s="104">
        <f t="shared" si="253"/>
        <v>0</v>
      </c>
      <c r="CI167" s="104">
        <f t="shared" si="253"/>
        <v>0</v>
      </c>
      <c r="CJ167" s="104">
        <f t="shared" si="253"/>
        <v>0</v>
      </c>
      <c r="CK167" s="104">
        <f t="shared" si="253"/>
        <v>0</v>
      </c>
      <c r="CL167" s="104">
        <f t="shared" si="253"/>
        <v>0</v>
      </c>
      <c r="CM167" s="104">
        <f t="shared" si="253"/>
        <v>0</v>
      </c>
      <c r="CN167" s="104">
        <f t="shared" si="253"/>
        <v>0</v>
      </c>
      <c r="CO167" s="104">
        <f t="shared" si="253"/>
        <v>0</v>
      </c>
      <c r="CP167" s="104">
        <f t="shared" si="253"/>
        <v>0</v>
      </c>
      <c r="CQ167" s="104">
        <f t="shared" si="253"/>
        <v>0</v>
      </c>
      <c r="CR167" s="104">
        <f t="shared" si="253"/>
        <v>0</v>
      </c>
      <c r="CS167" s="104">
        <f t="shared" si="253"/>
        <v>0</v>
      </c>
      <c r="CT167" s="104">
        <f t="shared" si="253"/>
        <v>0</v>
      </c>
      <c r="CU167" s="104">
        <f t="shared" si="253"/>
        <v>0</v>
      </c>
      <c r="CV167" s="104">
        <f t="shared" si="253"/>
        <v>0</v>
      </c>
      <c r="CW167" s="104">
        <f t="shared" si="253"/>
        <v>12255</v>
      </c>
      <c r="CX167" s="104">
        <f>SUM(CX168:CX275)</f>
        <v>1565036009.7353394</v>
      </c>
    </row>
    <row r="168" spans="1:102" ht="30" customHeight="1" x14ac:dyDescent="0.25">
      <c r="A168" s="91"/>
      <c r="B168" s="116">
        <v>136</v>
      </c>
      <c r="C168" s="168" t="s">
        <v>425</v>
      </c>
      <c r="D168" s="161" t="s">
        <v>426</v>
      </c>
      <c r="E168" s="95">
        <v>28004</v>
      </c>
      <c r="F168" s="96">
        <v>29405</v>
      </c>
      <c r="G168" s="120">
        <v>2.41</v>
      </c>
      <c r="H168" s="107">
        <v>1</v>
      </c>
      <c r="I168" s="108"/>
      <c r="J168" s="108"/>
      <c r="K168" s="108"/>
      <c r="L168" s="63"/>
      <c r="M168" s="120">
        <v>1.4</v>
      </c>
      <c r="N168" s="120">
        <v>1.68</v>
      </c>
      <c r="O168" s="120">
        <v>2.23</v>
      </c>
      <c r="P168" s="121">
        <v>2.57</v>
      </c>
      <c r="Q168" s="122">
        <v>9</v>
      </c>
      <c r="R168" s="123">
        <f t="shared" ref="R168:R193" si="254">(Q168/12*2*$E168*$G168*$H168*$M168*$R$11)+(Q168/12*10*$F168*$G168*$H168*$M168*$R$11)</f>
        <v>974403.94589999993</v>
      </c>
      <c r="S168" s="124"/>
      <c r="T168" s="125">
        <f t="shared" ref="T168:T193" si="255">(S168/12*2*$E168*$G168*$H168*$M168*$R$11)+(S168/12*10*$F168*$G168*$H168*$M168*$R$11)</f>
        <v>0</v>
      </c>
      <c r="U168" s="123"/>
      <c r="V168" s="123">
        <f t="shared" ref="V168:V193" si="256">(U168/12*2*$E168*$G168*$H168*$M168*$V$11)+(U168/12*10*$F168*$G168*$H168*$M168*$V$12)</f>
        <v>0</v>
      </c>
      <c r="W168" s="123"/>
      <c r="X168" s="126">
        <f t="shared" ref="X168:X193" si="257">(W168/12*2*$E168*$G168*$H168*$M168*$X$11)+(W168/12*10*$F168*$G168*$H168*$M168*$X$12)</f>
        <v>0</v>
      </c>
      <c r="Y168" s="123">
        <f>33-13</f>
        <v>20</v>
      </c>
      <c r="Z168" s="123">
        <f t="shared" ref="Z168:Z193" si="258">(Y168/12*2*$E168*$G168*$H168*$M168*$Z$11)+(Y168/12*10*$F168*$G168*$H168*$M168*$Z$12)</f>
        <v>2640142.0663333335</v>
      </c>
      <c r="AA168" s="123"/>
      <c r="AB168" s="123">
        <f t="shared" ref="AB168:AB193" si="259">(AA168/12*2*$E168*$G168*$H168*$M168*$AB$11)+(AA168/12*10*$F168*$G168*$H168*$M168*$AB$11)</f>
        <v>0</v>
      </c>
      <c r="AC168" s="123"/>
      <c r="AD168" s="123"/>
      <c r="AE168" s="123"/>
      <c r="AF168" s="123">
        <f t="shared" ref="AF168:AF193" si="260">(AE168/12*2*$E168*$G168*$H168*$M168*$AF$11)+(AE168/12*10*$F168*$G168*$H168*$M168*$AF$11)</f>
        <v>0</v>
      </c>
      <c r="AG168" s="135">
        <v>0</v>
      </c>
      <c r="AH168" s="136">
        <f t="shared" ref="AH168:AH193" si="261">(AG168/12*2*$E168*$G168*$H168*$M168*$AH$11)+(AG168/12*10*$F168*$G168*$H168*$M168*$AH$11)</f>
        <v>0</v>
      </c>
      <c r="AI168" s="123"/>
      <c r="AJ168" s="123">
        <f t="shared" ref="AJ168:AJ193" si="262">(AI168/12*2*$E168*$G168*$H168*$M168*$AJ$11)+(AI168/12*5*$F168*$G168*$H168*$M168*$AJ$12)+(AI168/12*5*$F168*$G168*$H168*$M168*$AJ$13)</f>
        <v>0</v>
      </c>
      <c r="AK168" s="123"/>
      <c r="AL168" s="123">
        <f t="shared" ref="AL168:AL193" si="263">(AK168/12*2*$E168*$G168*$H168*$N168*$AL$11)+(AK168/12*5*$F168*$G168*$H168*$N168*$AL$12)++(AK168/12*5*$F168*$G168*$H168*$N168*$AL$13)</f>
        <v>0</v>
      </c>
      <c r="AM168" s="132">
        <f>6+1</f>
        <v>7</v>
      </c>
      <c r="AN168" s="123">
        <f t="shared" ref="AN168:AN193" si="264">(AM168/12*2*$E168*$G168*$H168*$N168*$AN$11)+(AM168/12*10*$F168*$G168*$H168*$N168*$AN$12)</f>
        <v>1108859.6678600004</v>
      </c>
      <c r="AO168" s="130"/>
      <c r="AP168" s="127">
        <f t="shared" ref="AP168:AP193" si="265">(AO168/12*2*$E168*$G168*$H168*$N168*$AP$11)+(AO168/12*10*$F168*$G168*$H168*$N168*$AP$11)</f>
        <v>0</v>
      </c>
      <c r="AQ168" s="127">
        <v>0</v>
      </c>
      <c r="AR168" s="127">
        <v>0</v>
      </c>
      <c r="AS168" s="123"/>
      <c r="AT168" s="123">
        <f t="shared" ref="AT168:AT193" si="266">(AS168/12*2*$E168*$G168*$H168*$M168*$AT$11)+(AS168/12*10*$F168*$G168*$H168*$M168*$AT$11)</f>
        <v>0</v>
      </c>
      <c r="AU168" s="123"/>
      <c r="AV168" s="126">
        <f t="shared" ref="AV168:AV193" si="267">(AU168/12*2*$E168*$G168*$H168*$M168*$AV$11)+(AU168/12*10*$F168*$G168*$H168*$M168*$AV$12)</f>
        <v>0</v>
      </c>
      <c r="AW168" s="123"/>
      <c r="AX168" s="123">
        <f t="shared" ref="AX168:AX193" si="268">(AW168/12*2*$E168*$G168*$H168*$M168*$AX$11)+(AW168/12*10*$F168*$G168*$H168*$M168*$AX$12)</f>
        <v>0</v>
      </c>
      <c r="AY168" s="131">
        <v>0</v>
      </c>
      <c r="AZ168" s="123">
        <f t="shared" ref="AZ168:AZ193" si="269">(AY168/12*2*$E168*$G168*$H168*$N168*$AZ$11)+(AY168/12*10*$F168*$G168*$H168*$N168*$AZ$11)</f>
        <v>0</v>
      </c>
      <c r="BA168" s="123"/>
      <c r="BB168" s="123">
        <f t="shared" ref="BB168:BB193" si="270">(BA168/12*2*$E168*$G168*$H168*$N168*$BB$11)+(BA168/12*10*$F168*$G168*$H168*$N168*$BB$12)</f>
        <v>0</v>
      </c>
      <c r="BC168" s="123"/>
      <c r="BD168" s="126">
        <f t="shared" ref="BD168:BD229" si="271">(BC168/12*2*$E168*$G168*$H168*$N168*$BD$11)+(BC168/12*10*$F168*$G168*$H168*$N168*$BD$12)</f>
        <v>0</v>
      </c>
      <c r="BE168" s="123"/>
      <c r="BF168" s="123">
        <f t="shared" ref="BF168:BF193" si="272">(BE168/12*10*$F168*$G168*$H168*$N168*$BF$12)</f>
        <v>0</v>
      </c>
      <c r="BG168" s="123"/>
      <c r="BH168" s="123">
        <f t="shared" ref="BH168:BH193" si="273">(BG168/12*2*$E168*$G168*$H168*$N168*$BH$11)+(BG168/12*10*$F168*$G168*$H168*$N168*$BH$11)</f>
        <v>0</v>
      </c>
      <c r="BI168" s="123"/>
      <c r="BJ168" s="126">
        <f t="shared" ref="BJ168:BJ193" si="274">(BI168/12*2*$E168*$G168*$H168*$N168*$BJ$11)+(BI168/12*10*$F168*$G168*$H168*$N168*$BJ$11)</f>
        <v>0</v>
      </c>
      <c r="BK168" s="123"/>
      <c r="BL168" s="127">
        <f t="shared" ref="BL168:BL193" si="275">(BK168/12*2*$E168*$G168*$H168*$N168*$BL$11)+(BK168/12*10*$F168*$G168*$H168*$N168*$BL$11)</f>
        <v>0</v>
      </c>
      <c r="BM168" s="123"/>
      <c r="BN168" s="123">
        <f t="shared" ref="BN168:BN193" si="276">(BM168/12*2*$E168*$G168*$H168*$M168*$BN$11)+(BM168/12*10*$F168*$G168*$H168*$M168*$BN$11)</f>
        <v>0</v>
      </c>
      <c r="BO168" s="123"/>
      <c r="BP168" s="123">
        <f t="shared" ref="BP168:BP193" si="277">(BO168/12*2*$E168*$G168*$H168*$M168*$BP$11)+(BO168/12*10*$F168*$G168*$H168*$M168*$BP$12)</f>
        <v>0</v>
      </c>
      <c r="BQ168" s="123"/>
      <c r="BR168" s="123">
        <f t="shared" ref="BR168:BR193" si="278">(BQ168/12*2*$E168*$G168*$H168*$M168*$BR$11)+(BQ168/12*10*$F168*$G168*$H168*$M168*$BR$11)</f>
        <v>0</v>
      </c>
      <c r="BS168" s="123"/>
      <c r="BT168" s="123">
        <f t="shared" ref="BT168:BT193" si="279">(BS168/12*2*$E168*$G168*$H168*$N168*$BT$11)+(BS168/12*10*$F168*$G168*$H168*$N168*$BT$11)</f>
        <v>0</v>
      </c>
      <c r="BU168" s="123"/>
      <c r="BV168" s="126">
        <f t="shared" ref="BV168:BV193" si="280">(BU168/12*2*$E168*$G168*$H168*$M168*$BV$11)+(BU168/12*10*$F168*$G168*$H168*$M168*$BV$11)</f>
        <v>0</v>
      </c>
      <c r="BW168" s="123"/>
      <c r="BX168" s="123">
        <f t="shared" ref="BX168:BX193" si="281">(BW168/12*2*$E168*$G168*$H168*$M168*$BX$11)+(BW168/12*10*$F168*$G168*$H168*$M168*$BX$11)</f>
        <v>0</v>
      </c>
      <c r="BY168" s="123"/>
      <c r="BZ168" s="123">
        <f t="shared" ref="BZ168:BZ193" si="282">(BY168/12*2*$E168*$G168*$H168*$M168*$BZ$11)+(BY168/12*10*$F168*$G168*$H168*$M168*$BZ$11)</f>
        <v>0</v>
      </c>
      <c r="CA168" s="123"/>
      <c r="CB168" s="123">
        <f t="shared" ref="CB168:CB193" si="283">(CA168/12*2*$E168*$G168*$H168*$M168*$CB$11)+(CA168/12*10*$F168*$G168*$H168*$M168*$CB$11)</f>
        <v>0</v>
      </c>
      <c r="CC168" s="123"/>
      <c r="CD168" s="123">
        <f t="shared" ref="CD168:CD193" si="284">(CC168/12*2*$E168*$G168*$H168*$M168*$CD$11)+(CC168/12*10*$F168*$G168*$H168*$M168*$CD$11)</f>
        <v>0</v>
      </c>
      <c r="CE168" s="123"/>
      <c r="CF168" s="123">
        <f t="shared" ref="CF168:CF193" si="285">(CE168/12*10*$F168*$G168*$H168*$N168*$CF$11)</f>
        <v>0</v>
      </c>
      <c r="CG168" s="132"/>
      <c r="CH168" s="123">
        <f t="shared" ref="CH168:CH193" si="286">(CG168/12*2*$E168*$G168*$H168*$N168*$CH$11)+(CG168/12*10*$F168*$G168*$H168*$N168*$CH$11)</f>
        <v>0</v>
      </c>
      <c r="CI168" s="123"/>
      <c r="CJ168" s="127">
        <f t="shared" ref="CJ168:CJ193" si="287">(CI168*$E168*$G168*$H168*$N168*CJ$11)</f>
        <v>0</v>
      </c>
      <c r="CK168" s="123"/>
      <c r="CL168" s="123">
        <f t="shared" ref="CL168:CL193" si="288">(CK168/12*2*$E168*$G168*$H168*$N168*$CL$11)+(CK168/12*10*$F168*$G168*$H168*$N168*$CL$12)</f>
        <v>0</v>
      </c>
      <c r="CM168" s="130"/>
      <c r="CN168" s="123">
        <f t="shared" ref="CN168:CN193" si="289">(CM168/12*2*$E168*$G168*$H168*$N168*$CN$11)+(CM168/12*10*$F168*$G168*$H168*$N168*$CN$11)</f>
        <v>0</v>
      </c>
      <c r="CO168" s="123"/>
      <c r="CP168" s="123">
        <f t="shared" ref="CP168:CP193" si="290">(CO168/12*2*$E168*$G168*$H168*$N168*$CP$11)+(CO168/12*10*$F168*$G168*$H168*$N168*$CP$11)</f>
        <v>0</v>
      </c>
      <c r="CQ168" s="123"/>
      <c r="CR168" s="123">
        <f t="shared" ref="CR168:CR193" si="291">(CQ168/12*2*$E168*$G168*$H168*$O168*$CR$11)+(CQ168/12*10*$F168*$G168*$H168*$O168*$CR$11)</f>
        <v>0</v>
      </c>
      <c r="CS168" s="123"/>
      <c r="CT168" s="133">
        <f t="shared" ref="CT168:CT193" si="292">(CS168/12*2*$E168*$G168*$H168*$P168*$CT$11)+(CS168/12*10*$F168*$G168*$H168*$P168*$CT$11)</f>
        <v>0</v>
      </c>
      <c r="CU168" s="127"/>
      <c r="CV168" s="123">
        <f t="shared" ref="CV168:CV193" si="293">(CU168*$E168*$G168*$H168*$M168*CV$11)/12*6+(CU168*$E168*$G168*$H168*1*CV$11)/12*6</f>
        <v>0</v>
      </c>
      <c r="CW168" s="126">
        <f t="shared" ref="CW168:CX231" si="294">SUM(Q168,S168,U168,W168,Y168,AA168,AC168,AE168,AG168,AM168,BQ168,AI168,AU168,CC168,AW168,AY168,AK168,BC168,AO168,AQ168,BE168,CE168,BG168,BI168,BK168,BS168,BM168,BO168,BU168,BW168,BY168,CA168,CG168,BA168,AS168,CI168,CK168,CM168,CO168,CQ168,CS168,CU168)</f>
        <v>36</v>
      </c>
      <c r="CX168" s="126">
        <f t="shared" si="294"/>
        <v>4723405.6800933341</v>
      </c>
    </row>
    <row r="169" spans="1:102" ht="30" customHeight="1" x14ac:dyDescent="0.25">
      <c r="A169" s="91"/>
      <c r="B169" s="116">
        <v>137</v>
      </c>
      <c r="C169" s="168" t="s">
        <v>427</v>
      </c>
      <c r="D169" s="161" t="s">
        <v>428</v>
      </c>
      <c r="E169" s="95">
        <v>28004</v>
      </c>
      <c r="F169" s="96">
        <v>29405</v>
      </c>
      <c r="G169" s="120">
        <v>4.0199999999999996</v>
      </c>
      <c r="H169" s="107">
        <v>1</v>
      </c>
      <c r="I169" s="108"/>
      <c r="J169" s="108"/>
      <c r="K169" s="108"/>
      <c r="L169" s="63"/>
      <c r="M169" s="120">
        <v>1.4</v>
      </c>
      <c r="N169" s="120">
        <v>1.68</v>
      </c>
      <c r="O169" s="120">
        <v>2.23</v>
      </c>
      <c r="P169" s="121">
        <v>2.57</v>
      </c>
      <c r="Q169" s="122">
        <v>5</v>
      </c>
      <c r="R169" s="123">
        <f t="shared" si="254"/>
        <v>902974.61100000003</v>
      </c>
      <c r="S169" s="124"/>
      <c r="T169" s="125">
        <f t="shared" si="255"/>
        <v>0</v>
      </c>
      <c r="U169" s="123"/>
      <c r="V169" s="123">
        <f t="shared" si="256"/>
        <v>0</v>
      </c>
      <c r="W169" s="123"/>
      <c r="X169" s="126">
        <f t="shared" si="257"/>
        <v>0</v>
      </c>
      <c r="Y169" s="123">
        <v>111</v>
      </c>
      <c r="Z169" s="123">
        <f t="shared" si="258"/>
        <v>24441580.764299992</v>
      </c>
      <c r="AA169" s="123"/>
      <c r="AB169" s="123">
        <f t="shared" si="259"/>
        <v>0</v>
      </c>
      <c r="AC169" s="123"/>
      <c r="AD169" s="123"/>
      <c r="AE169" s="123"/>
      <c r="AF169" s="123">
        <f t="shared" si="260"/>
        <v>0</v>
      </c>
      <c r="AG169" s="123">
        <v>0</v>
      </c>
      <c r="AH169" s="126">
        <f t="shared" si="261"/>
        <v>0</v>
      </c>
      <c r="AI169" s="123"/>
      <c r="AJ169" s="123">
        <f t="shared" si="262"/>
        <v>0</v>
      </c>
      <c r="AK169" s="123"/>
      <c r="AL169" s="123">
        <f t="shared" si="263"/>
        <v>0</v>
      </c>
      <c r="AM169" s="132">
        <f>19-7</f>
        <v>12</v>
      </c>
      <c r="AN169" s="123">
        <f t="shared" si="264"/>
        <v>3170799.6667199996</v>
      </c>
      <c r="AO169" s="130"/>
      <c r="AP169" s="127">
        <f t="shared" si="265"/>
        <v>0</v>
      </c>
      <c r="AQ169" s="127">
        <v>0</v>
      </c>
      <c r="AR169" s="127">
        <v>0</v>
      </c>
      <c r="AS169" s="123"/>
      <c r="AT169" s="123">
        <f t="shared" si="266"/>
        <v>0</v>
      </c>
      <c r="AU169" s="123"/>
      <c r="AV169" s="126">
        <f t="shared" si="267"/>
        <v>0</v>
      </c>
      <c r="AW169" s="123"/>
      <c r="AX169" s="123">
        <f t="shared" si="268"/>
        <v>0</v>
      </c>
      <c r="AY169" s="131">
        <v>0</v>
      </c>
      <c r="AZ169" s="123">
        <f t="shared" si="269"/>
        <v>0</v>
      </c>
      <c r="BA169" s="123"/>
      <c r="BB169" s="123">
        <f t="shared" si="270"/>
        <v>0</v>
      </c>
      <c r="BC169" s="123">
        <v>3</v>
      </c>
      <c r="BD169" s="126">
        <f>(BC169/12*2*$E169*$G169*$H169*$N169*$BD$11)+(BC169/12*10*$F169*$G169*$H169*$N169*$BD$12)</f>
        <v>571178.96639999992</v>
      </c>
      <c r="BE169" s="123"/>
      <c r="BF169" s="123">
        <f t="shared" si="272"/>
        <v>0</v>
      </c>
      <c r="BG169" s="123"/>
      <c r="BH169" s="123">
        <f t="shared" si="273"/>
        <v>0</v>
      </c>
      <c r="BI169" s="123"/>
      <c r="BJ169" s="126">
        <f t="shared" si="274"/>
        <v>0</v>
      </c>
      <c r="BK169" s="123"/>
      <c r="BL169" s="127">
        <f t="shared" si="275"/>
        <v>0</v>
      </c>
      <c r="BM169" s="123"/>
      <c r="BN169" s="123">
        <f t="shared" si="276"/>
        <v>0</v>
      </c>
      <c r="BO169" s="123"/>
      <c r="BP169" s="123">
        <f t="shared" si="277"/>
        <v>0</v>
      </c>
      <c r="BQ169" s="123"/>
      <c r="BR169" s="123">
        <f t="shared" si="278"/>
        <v>0</v>
      </c>
      <c r="BS169" s="123"/>
      <c r="BT169" s="123">
        <f t="shared" si="279"/>
        <v>0</v>
      </c>
      <c r="BU169" s="123"/>
      <c r="BV169" s="126">
        <f t="shared" si="280"/>
        <v>0</v>
      </c>
      <c r="BW169" s="123"/>
      <c r="BX169" s="123">
        <f t="shared" si="281"/>
        <v>0</v>
      </c>
      <c r="BY169" s="123"/>
      <c r="BZ169" s="123">
        <f t="shared" si="282"/>
        <v>0</v>
      </c>
      <c r="CA169" s="123"/>
      <c r="CB169" s="123">
        <f t="shared" si="283"/>
        <v>0</v>
      </c>
      <c r="CC169" s="123"/>
      <c r="CD169" s="123">
        <f t="shared" si="284"/>
        <v>0</v>
      </c>
      <c r="CE169" s="123"/>
      <c r="CF169" s="123">
        <f t="shared" si="285"/>
        <v>0</v>
      </c>
      <c r="CG169" s="132"/>
      <c r="CH169" s="123">
        <f t="shared" si="286"/>
        <v>0</v>
      </c>
      <c r="CI169" s="123"/>
      <c r="CJ169" s="127">
        <f t="shared" si="287"/>
        <v>0</v>
      </c>
      <c r="CK169" s="123"/>
      <c r="CL169" s="123">
        <f t="shared" si="288"/>
        <v>0</v>
      </c>
      <c r="CM169" s="130"/>
      <c r="CN169" s="123">
        <f t="shared" si="289"/>
        <v>0</v>
      </c>
      <c r="CO169" s="123"/>
      <c r="CP169" s="123">
        <f t="shared" si="290"/>
        <v>0</v>
      </c>
      <c r="CQ169" s="123"/>
      <c r="CR169" s="123">
        <f t="shared" si="291"/>
        <v>0</v>
      </c>
      <c r="CS169" s="123"/>
      <c r="CT169" s="133">
        <f t="shared" si="292"/>
        <v>0</v>
      </c>
      <c r="CU169" s="127"/>
      <c r="CV169" s="123">
        <f t="shared" si="293"/>
        <v>0</v>
      </c>
      <c r="CW169" s="126">
        <f t="shared" si="294"/>
        <v>131</v>
      </c>
      <c r="CX169" s="126">
        <f t="shared" si="294"/>
        <v>29086534.008419994</v>
      </c>
    </row>
    <row r="170" spans="1:102" ht="30" customHeight="1" x14ac:dyDescent="0.25">
      <c r="A170" s="91"/>
      <c r="B170" s="116">
        <v>138</v>
      </c>
      <c r="C170" s="168" t="s">
        <v>429</v>
      </c>
      <c r="D170" s="161" t="s">
        <v>430</v>
      </c>
      <c r="E170" s="95">
        <v>28004</v>
      </c>
      <c r="F170" s="96">
        <v>29405</v>
      </c>
      <c r="G170" s="120">
        <v>4.8899999999999997</v>
      </c>
      <c r="H170" s="107">
        <v>1</v>
      </c>
      <c r="I170" s="108"/>
      <c r="J170" s="108"/>
      <c r="K170" s="108"/>
      <c r="L170" s="63"/>
      <c r="M170" s="120">
        <v>1.4</v>
      </c>
      <c r="N170" s="120">
        <v>1.68</v>
      </c>
      <c r="O170" s="120">
        <v>2.23</v>
      </c>
      <c r="P170" s="121">
        <v>2.57</v>
      </c>
      <c r="Q170" s="122">
        <v>0</v>
      </c>
      <c r="R170" s="123">
        <f t="shared" si="254"/>
        <v>0</v>
      </c>
      <c r="S170" s="124"/>
      <c r="T170" s="125">
        <f t="shared" si="255"/>
        <v>0</v>
      </c>
      <c r="U170" s="123"/>
      <c r="V170" s="123">
        <f t="shared" si="256"/>
        <v>0</v>
      </c>
      <c r="W170" s="123"/>
      <c r="X170" s="126">
        <f t="shared" si="257"/>
        <v>0</v>
      </c>
      <c r="Y170" s="123">
        <f>138-40</f>
        <v>98</v>
      </c>
      <c r="Z170" s="123">
        <f t="shared" si="258"/>
        <v>26249146.909299992</v>
      </c>
      <c r="AA170" s="123"/>
      <c r="AB170" s="123">
        <f t="shared" si="259"/>
        <v>0</v>
      </c>
      <c r="AC170" s="123"/>
      <c r="AD170" s="123"/>
      <c r="AE170" s="123">
        <v>2</v>
      </c>
      <c r="AF170" s="123">
        <f t="shared" si="260"/>
        <v>439357.79579999996</v>
      </c>
      <c r="AG170" s="123">
        <v>0</v>
      </c>
      <c r="AH170" s="126">
        <f t="shared" si="261"/>
        <v>0</v>
      </c>
      <c r="AI170" s="123"/>
      <c r="AJ170" s="123">
        <f t="shared" si="262"/>
        <v>0</v>
      </c>
      <c r="AK170" s="123"/>
      <c r="AL170" s="123">
        <f t="shared" si="263"/>
        <v>0</v>
      </c>
      <c r="AM170" s="129">
        <f>6-1</f>
        <v>5</v>
      </c>
      <c r="AN170" s="123">
        <f t="shared" si="264"/>
        <v>1607090.6270999999</v>
      </c>
      <c r="AO170" s="130"/>
      <c r="AP170" s="127">
        <f t="shared" si="265"/>
        <v>0</v>
      </c>
      <c r="AQ170" s="127">
        <v>0</v>
      </c>
      <c r="AR170" s="127">
        <v>0</v>
      </c>
      <c r="AS170" s="123"/>
      <c r="AT170" s="123">
        <f t="shared" si="266"/>
        <v>0</v>
      </c>
      <c r="AU170" s="123"/>
      <c r="AV170" s="126">
        <f t="shared" si="267"/>
        <v>0</v>
      </c>
      <c r="AW170" s="123"/>
      <c r="AX170" s="123">
        <f t="shared" si="268"/>
        <v>0</v>
      </c>
      <c r="AY170" s="131">
        <v>0</v>
      </c>
      <c r="AZ170" s="123">
        <f t="shared" si="269"/>
        <v>0</v>
      </c>
      <c r="BA170" s="123"/>
      <c r="BB170" s="123">
        <f t="shared" si="270"/>
        <v>0</v>
      </c>
      <c r="BC170" s="123"/>
      <c r="BD170" s="126">
        <f t="shared" si="271"/>
        <v>0</v>
      </c>
      <c r="BE170" s="123"/>
      <c r="BF170" s="123">
        <f t="shared" si="272"/>
        <v>0</v>
      </c>
      <c r="BG170" s="123"/>
      <c r="BH170" s="123">
        <f t="shared" si="273"/>
        <v>0</v>
      </c>
      <c r="BI170" s="123"/>
      <c r="BJ170" s="126">
        <f t="shared" si="274"/>
        <v>0</v>
      </c>
      <c r="BK170" s="123"/>
      <c r="BL170" s="127">
        <f t="shared" si="275"/>
        <v>0</v>
      </c>
      <c r="BM170" s="123"/>
      <c r="BN170" s="123">
        <f t="shared" si="276"/>
        <v>0</v>
      </c>
      <c r="BO170" s="123"/>
      <c r="BP170" s="123">
        <f t="shared" si="277"/>
        <v>0</v>
      </c>
      <c r="BQ170" s="123"/>
      <c r="BR170" s="123">
        <f t="shared" si="278"/>
        <v>0</v>
      </c>
      <c r="BS170" s="123"/>
      <c r="BT170" s="123">
        <f t="shared" si="279"/>
        <v>0</v>
      </c>
      <c r="BU170" s="123"/>
      <c r="BV170" s="126">
        <f t="shared" si="280"/>
        <v>0</v>
      </c>
      <c r="BW170" s="123"/>
      <c r="BX170" s="123">
        <f t="shared" si="281"/>
        <v>0</v>
      </c>
      <c r="BY170" s="123"/>
      <c r="BZ170" s="123">
        <f t="shared" si="282"/>
        <v>0</v>
      </c>
      <c r="CA170" s="123"/>
      <c r="CB170" s="123">
        <f t="shared" si="283"/>
        <v>0</v>
      </c>
      <c r="CC170" s="123"/>
      <c r="CD170" s="123">
        <f t="shared" si="284"/>
        <v>0</v>
      </c>
      <c r="CE170" s="123"/>
      <c r="CF170" s="123">
        <f t="shared" si="285"/>
        <v>0</v>
      </c>
      <c r="CG170" s="132"/>
      <c r="CH170" s="123">
        <f t="shared" si="286"/>
        <v>0</v>
      </c>
      <c r="CI170" s="123"/>
      <c r="CJ170" s="127">
        <f t="shared" si="287"/>
        <v>0</v>
      </c>
      <c r="CK170" s="123"/>
      <c r="CL170" s="123">
        <f t="shared" si="288"/>
        <v>0</v>
      </c>
      <c r="CM170" s="130"/>
      <c r="CN170" s="123">
        <f t="shared" si="289"/>
        <v>0</v>
      </c>
      <c r="CO170" s="123"/>
      <c r="CP170" s="123">
        <f t="shared" si="290"/>
        <v>0</v>
      </c>
      <c r="CQ170" s="123"/>
      <c r="CR170" s="123">
        <f t="shared" si="291"/>
        <v>0</v>
      </c>
      <c r="CS170" s="123"/>
      <c r="CT170" s="133">
        <f t="shared" si="292"/>
        <v>0</v>
      </c>
      <c r="CU170" s="127"/>
      <c r="CV170" s="123">
        <f t="shared" si="293"/>
        <v>0</v>
      </c>
      <c r="CW170" s="126">
        <f t="shared" si="294"/>
        <v>105</v>
      </c>
      <c r="CX170" s="126">
        <f t="shared" si="294"/>
        <v>28295595.332199991</v>
      </c>
    </row>
    <row r="171" spans="1:102" s="6" customFormat="1" ht="30" customHeight="1" x14ac:dyDescent="0.25">
      <c r="A171" s="91"/>
      <c r="B171" s="116">
        <v>139</v>
      </c>
      <c r="C171" s="168" t="s">
        <v>431</v>
      </c>
      <c r="D171" s="161" t="s">
        <v>432</v>
      </c>
      <c r="E171" s="95">
        <v>28004</v>
      </c>
      <c r="F171" s="96">
        <v>29405</v>
      </c>
      <c r="G171" s="120">
        <v>3.05</v>
      </c>
      <c r="H171" s="107">
        <v>1</v>
      </c>
      <c r="I171" s="108"/>
      <c r="J171" s="108"/>
      <c r="K171" s="108"/>
      <c r="L171" s="63"/>
      <c r="M171" s="120">
        <v>1.4</v>
      </c>
      <c r="N171" s="120">
        <v>1.68</v>
      </c>
      <c r="O171" s="120">
        <v>2.23</v>
      </c>
      <c r="P171" s="121">
        <v>2.57</v>
      </c>
      <c r="Q171" s="122">
        <v>47</v>
      </c>
      <c r="R171" s="123">
        <f t="shared" si="254"/>
        <v>6439871.1684999987</v>
      </c>
      <c r="S171" s="124">
        <v>8</v>
      </c>
      <c r="T171" s="125">
        <f t="shared" si="255"/>
        <v>1096148.284</v>
      </c>
      <c r="U171" s="123"/>
      <c r="V171" s="123">
        <f t="shared" si="256"/>
        <v>0</v>
      </c>
      <c r="W171" s="123"/>
      <c r="X171" s="126">
        <f t="shared" si="257"/>
        <v>0</v>
      </c>
      <c r="Y171" s="123">
        <f>19+11</f>
        <v>30</v>
      </c>
      <c r="Z171" s="123">
        <f t="shared" si="258"/>
        <v>5011887.9474999998</v>
      </c>
      <c r="AA171" s="123"/>
      <c r="AB171" s="123">
        <f t="shared" si="259"/>
        <v>0</v>
      </c>
      <c r="AC171" s="200"/>
      <c r="AD171" s="123"/>
      <c r="AE171" s="123">
        <v>3</v>
      </c>
      <c r="AF171" s="123">
        <f t="shared" si="260"/>
        <v>411055.60649999999</v>
      </c>
      <c r="AG171" s="123">
        <v>0</v>
      </c>
      <c r="AH171" s="126">
        <f t="shared" si="261"/>
        <v>0</v>
      </c>
      <c r="AI171" s="123"/>
      <c r="AJ171" s="123">
        <f t="shared" si="262"/>
        <v>0</v>
      </c>
      <c r="AK171" s="123"/>
      <c r="AL171" s="123">
        <f t="shared" si="263"/>
        <v>0</v>
      </c>
      <c r="AM171" s="132">
        <f>31+12</f>
        <v>43</v>
      </c>
      <c r="AN171" s="123">
        <f t="shared" si="264"/>
        <v>8620447.2697000001</v>
      </c>
      <c r="AO171" s="211"/>
      <c r="AP171" s="127">
        <f t="shared" si="265"/>
        <v>0</v>
      </c>
      <c r="AQ171" s="127">
        <v>0</v>
      </c>
      <c r="AR171" s="127">
        <v>0</v>
      </c>
      <c r="AS171" s="123"/>
      <c r="AT171" s="123">
        <f t="shared" si="266"/>
        <v>0</v>
      </c>
      <c r="AU171" s="200"/>
      <c r="AV171" s="126">
        <f t="shared" si="267"/>
        <v>0</v>
      </c>
      <c r="AW171" s="200"/>
      <c r="AX171" s="123">
        <f t="shared" si="268"/>
        <v>0</v>
      </c>
      <c r="AY171" s="131"/>
      <c r="AZ171" s="123">
        <f t="shared" si="269"/>
        <v>0</v>
      </c>
      <c r="BA171" s="200"/>
      <c r="BB171" s="123">
        <f t="shared" si="270"/>
        <v>0</v>
      </c>
      <c r="BC171" s="200"/>
      <c r="BD171" s="126">
        <f t="shared" si="271"/>
        <v>0</v>
      </c>
      <c r="BE171" s="200"/>
      <c r="BF171" s="123">
        <f t="shared" si="272"/>
        <v>0</v>
      </c>
      <c r="BG171" s="200"/>
      <c r="BH171" s="123">
        <f t="shared" si="273"/>
        <v>0</v>
      </c>
      <c r="BI171" s="123"/>
      <c r="BJ171" s="126">
        <f t="shared" si="274"/>
        <v>0</v>
      </c>
      <c r="BK171" s="123"/>
      <c r="BL171" s="127">
        <f t="shared" si="275"/>
        <v>0</v>
      </c>
      <c r="BM171" s="200"/>
      <c r="BN171" s="123">
        <f t="shared" si="276"/>
        <v>0</v>
      </c>
      <c r="BO171" s="200"/>
      <c r="BP171" s="123">
        <f t="shared" si="277"/>
        <v>0</v>
      </c>
      <c r="BQ171" s="200"/>
      <c r="BR171" s="123">
        <f t="shared" si="278"/>
        <v>0</v>
      </c>
      <c r="BS171" s="200"/>
      <c r="BT171" s="123">
        <f t="shared" si="279"/>
        <v>0</v>
      </c>
      <c r="BU171" s="200"/>
      <c r="BV171" s="126">
        <f t="shared" si="280"/>
        <v>0</v>
      </c>
      <c r="BW171" s="200"/>
      <c r="BX171" s="123">
        <f t="shared" si="281"/>
        <v>0</v>
      </c>
      <c r="BY171" s="200"/>
      <c r="BZ171" s="123">
        <f t="shared" si="282"/>
        <v>0</v>
      </c>
      <c r="CA171" s="123"/>
      <c r="CB171" s="123">
        <f t="shared" si="283"/>
        <v>0</v>
      </c>
      <c r="CC171" s="200"/>
      <c r="CD171" s="123">
        <f t="shared" si="284"/>
        <v>0</v>
      </c>
      <c r="CE171" s="200"/>
      <c r="CF171" s="123">
        <f t="shared" si="285"/>
        <v>0</v>
      </c>
      <c r="CG171" s="132"/>
      <c r="CH171" s="123">
        <f t="shared" si="286"/>
        <v>0</v>
      </c>
      <c r="CI171" s="200"/>
      <c r="CJ171" s="127">
        <f t="shared" si="287"/>
        <v>0</v>
      </c>
      <c r="CK171" s="200"/>
      <c r="CL171" s="123">
        <f t="shared" si="288"/>
        <v>0</v>
      </c>
      <c r="CM171" s="211"/>
      <c r="CN171" s="123">
        <f t="shared" si="289"/>
        <v>0</v>
      </c>
      <c r="CO171" s="123"/>
      <c r="CP171" s="123">
        <f t="shared" si="290"/>
        <v>0</v>
      </c>
      <c r="CQ171" s="200"/>
      <c r="CR171" s="123">
        <f t="shared" si="291"/>
        <v>0</v>
      </c>
      <c r="CS171" s="200"/>
      <c r="CT171" s="133">
        <f t="shared" si="292"/>
        <v>0</v>
      </c>
      <c r="CU171" s="127"/>
      <c r="CV171" s="123">
        <f t="shared" si="293"/>
        <v>0</v>
      </c>
      <c r="CW171" s="126">
        <f t="shared" si="294"/>
        <v>131</v>
      </c>
      <c r="CX171" s="126">
        <f t="shared" si="294"/>
        <v>21579410.276199996</v>
      </c>
    </row>
    <row r="172" spans="1:102" s="6" customFormat="1" ht="30" customHeight="1" x14ac:dyDescent="0.25">
      <c r="A172" s="91"/>
      <c r="B172" s="116">
        <v>140</v>
      </c>
      <c r="C172" s="168" t="s">
        <v>433</v>
      </c>
      <c r="D172" s="161" t="s">
        <v>434</v>
      </c>
      <c r="E172" s="95">
        <v>28004</v>
      </c>
      <c r="F172" s="96">
        <v>29405</v>
      </c>
      <c r="G172" s="120">
        <v>5.31</v>
      </c>
      <c r="H172" s="107">
        <v>1</v>
      </c>
      <c r="I172" s="108"/>
      <c r="J172" s="108"/>
      <c r="K172" s="108"/>
      <c r="L172" s="63"/>
      <c r="M172" s="120">
        <v>1.4</v>
      </c>
      <c r="N172" s="120">
        <v>1.68</v>
      </c>
      <c r="O172" s="120">
        <v>2.23</v>
      </c>
      <c r="P172" s="121">
        <v>2.57</v>
      </c>
      <c r="Q172" s="122">
        <v>10</v>
      </c>
      <c r="R172" s="123">
        <f t="shared" si="254"/>
        <v>2385470.2409999999</v>
      </c>
      <c r="S172" s="124">
        <v>9</v>
      </c>
      <c r="T172" s="125">
        <f t="shared" si="255"/>
        <v>2146923.2168999999</v>
      </c>
      <c r="U172" s="123"/>
      <c r="V172" s="123">
        <f t="shared" si="256"/>
        <v>0</v>
      </c>
      <c r="W172" s="123"/>
      <c r="X172" s="126">
        <f t="shared" si="257"/>
        <v>0</v>
      </c>
      <c r="Y172" s="123">
        <f>161-61</f>
        <v>100</v>
      </c>
      <c r="Z172" s="123">
        <f t="shared" si="258"/>
        <v>29085382.515000001</v>
      </c>
      <c r="AA172" s="123"/>
      <c r="AB172" s="123">
        <f t="shared" si="259"/>
        <v>0</v>
      </c>
      <c r="AC172" s="200"/>
      <c r="AD172" s="123"/>
      <c r="AE172" s="123">
        <v>8</v>
      </c>
      <c r="AF172" s="127">
        <f t="shared" si="260"/>
        <v>1908376.1927999996</v>
      </c>
      <c r="AG172" s="123">
        <v>5</v>
      </c>
      <c r="AH172" s="126">
        <f t="shared" si="261"/>
        <v>1192735.1205</v>
      </c>
      <c r="AI172" s="130"/>
      <c r="AJ172" s="123">
        <f t="shared" si="262"/>
        <v>0</v>
      </c>
      <c r="AK172" s="123"/>
      <c r="AL172" s="123">
        <f t="shared" si="263"/>
        <v>0</v>
      </c>
      <c r="AM172" s="132">
        <f>69-24</f>
        <v>45</v>
      </c>
      <c r="AN172" s="123">
        <f t="shared" si="264"/>
        <v>15706106.5581</v>
      </c>
      <c r="AO172" s="211"/>
      <c r="AP172" s="127">
        <f t="shared" si="265"/>
        <v>0</v>
      </c>
      <c r="AQ172" s="127">
        <v>0</v>
      </c>
      <c r="AR172" s="127">
        <v>0</v>
      </c>
      <c r="AS172" s="123"/>
      <c r="AT172" s="123">
        <f t="shared" si="266"/>
        <v>0</v>
      </c>
      <c r="AU172" s="200"/>
      <c r="AV172" s="126">
        <f t="shared" si="267"/>
        <v>0</v>
      </c>
      <c r="AW172" s="200"/>
      <c r="AX172" s="123">
        <f t="shared" si="268"/>
        <v>0</v>
      </c>
      <c r="AY172" s="131"/>
      <c r="AZ172" s="123">
        <f t="shared" si="269"/>
        <v>0</v>
      </c>
      <c r="BA172" s="200"/>
      <c r="BB172" s="123">
        <f t="shared" si="270"/>
        <v>0</v>
      </c>
      <c r="BC172" s="200"/>
      <c r="BD172" s="126">
        <f t="shared" si="271"/>
        <v>0</v>
      </c>
      <c r="BE172" s="200"/>
      <c r="BF172" s="123">
        <f t="shared" si="272"/>
        <v>0</v>
      </c>
      <c r="BG172" s="200"/>
      <c r="BH172" s="123">
        <f t="shared" si="273"/>
        <v>0</v>
      </c>
      <c r="BI172" s="123"/>
      <c r="BJ172" s="126">
        <f t="shared" si="274"/>
        <v>0</v>
      </c>
      <c r="BK172" s="123"/>
      <c r="BL172" s="127">
        <f t="shared" si="275"/>
        <v>0</v>
      </c>
      <c r="BM172" s="200"/>
      <c r="BN172" s="123">
        <f t="shared" si="276"/>
        <v>0</v>
      </c>
      <c r="BO172" s="200"/>
      <c r="BP172" s="123">
        <f t="shared" si="277"/>
        <v>0</v>
      </c>
      <c r="BQ172" s="200"/>
      <c r="BR172" s="123">
        <f t="shared" si="278"/>
        <v>0</v>
      </c>
      <c r="BS172" s="200"/>
      <c r="BT172" s="123">
        <f t="shared" si="279"/>
        <v>0</v>
      </c>
      <c r="BU172" s="200"/>
      <c r="BV172" s="126">
        <f t="shared" si="280"/>
        <v>0</v>
      </c>
      <c r="BW172" s="200"/>
      <c r="BX172" s="123">
        <f t="shared" si="281"/>
        <v>0</v>
      </c>
      <c r="BY172" s="123"/>
      <c r="BZ172" s="123">
        <f t="shared" si="282"/>
        <v>0</v>
      </c>
      <c r="CA172" s="123"/>
      <c r="CB172" s="123">
        <f t="shared" si="283"/>
        <v>0</v>
      </c>
      <c r="CC172" s="200"/>
      <c r="CD172" s="123">
        <f t="shared" si="284"/>
        <v>0</v>
      </c>
      <c r="CE172" s="200"/>
      <c r="CF172" s="123">
        <f t="shared" si="285"/>
        <v>0</v>
      </c>
      <c r="CG172" s="132"/>
      <c r="CH172" s="123">
        <f t="shared" si="286"/>
        <v>0</v>
      </c>
      <c r="CI172" s="200"/>
      <c r="CJ172" s="127">
        <f t="shared" si="287"/>
        <v>0</v>
      </c>
      <c r="CK172" s="200"/>
      <c r="CL172" s="123">
        <f t="shared" si="288"/>
        <v>0</v>
      </c>
      <c r="CM172" s="211"/>
      <c r="CN172" s="123">
        <f t="shared" si="289"/>
        <v>0</v>
      </c>
      <c r="CO172" s="123"/>
      <c r="CP172" s="123">
        <f t="shared" si="290"/>
        <v>0</v>
      </c>
      <c r="CQ172" s="200"/>
      <c r="CR172" s="123">
        <f t="shared" si="291"/>
        <v>0</v>
      </c>
      <c r="CS172" s="200"/>
      <c r="CT172" s="133">
        <f t="shared" si="292"/>
        <v>0</v>
      </c>
      <c r="CU172" s="127"/>
      <c r="CV172" s="123">
        <f t="shared" si="293"/>
        <v>0</v>
      </c>
      <c r="CW172" s="126">
        <f t="shared" si="294"/>
        <v>177</v>
      </c>
      <c r="CX172" s="126">
        <f t="shared" si="294"/>
        <v>52424993.844300002</v>
      </c>
    </row>
    <row r="173" spans="1:102" ht="45" customHeight="1" x14ac:dyDescent="0.25">
      <c r="A173" s="91"/>
      <c r="B173" s="116">
        <v>141</v>
      </c>
      <c r="C173" s="168" t="s">
        <v>435</v>
      </c>
      <c r="D173" s="161" t="s">
        <v>436</v>
      </c>
      <c r="E173" s="95">
        <v>28004</v>
      </c>
      <c r="F173" s="96">
        <v>29405</v>
      </c>
      <c r="G173" s="119">
        <v>1.66</v>
      </c>
      <c r="H173" s="107">
        <v>1</v>
      </c>
      <c r="I173" s="108"/>
      <c r="J173" s="108"/>
      <c r="K173" s="108"/>
      <c r="L173" s="63"/>
      <c r="M173" s="120">
        <v>1.4</v>
      </c>
      <c r="N173" s="120">
        <v>1.68</v>
      </c>
      <c r="O173" s="120">
        <v>2.23</v>
      </c>
      <c r="P173" s="121">
        <v>2.57</v>
      </c>
      <c r="Q173" s="122">
        <v>3</v>
      </c>
      <c r="R173" s="123">
        <f t="shared" si="254"/>
        <v>223722.06780000002</v>
      </c>
      <c r="S173" s="124"/>
      <c r="T173" s="125">
        <f t="shared" si="255"/>
        <v>0</v>
      </c>
      <c r="U173" s="123"/>
      <c r="V173" s="123">
        <f t="shared" si="256"/>
        <v>0</v>
      </c>
      <c r="W173" s="123"/>
      <c r="X173" s="126">
        <f t="shared" si="257"/>
        <v>0</v>
      </c>
      <c r="Y173" s="123">
        <f>3-1</f>
        <v>2</v>
      </c>
      <c r="Z173" s="123">
        <f t="shared" si="258"/>
        <v>181852.10913333332</v>
      </c>
      <c r="AA173" s="123"/>
      <c r="AB173" s="123">
        <f t="shared" si="259"/>
        <v>0</v>
      </c>
      <c r="AC173" s="123"/>
      <c r="AD173" s="123"/>
      <c r="AE173" s="123">
        <v>2</v>
      </c>
      <c r="AF173" s="127">
        <f t="shared" si="260"/>
        <v>149148.04519999999</v>
      </c>
      <c r="AG173" s="123">
        <v>10</v>
      </c>
      <c r="AH173" s="126">
        <f t="shared" si="261"/>
        <v>745740.22600000002</v>
      </c>
      <c r="AI173" s="130"/>
      <c r="AJ173" s="123">
        <f t="shared" si="262"/>
        <v>0</v>
      </c>
      <c r="AK173" s="123"/>
      <c r="AL173" s="123">
        <f t="shared" si="263"/>
        <v>0</v>
      </c>
      <c r="AM173" s="129">
        <f>2-2</f>
        <v>0</v>
      </c>
      <c r="AN173" s="123">
        <f t="shared" si="264"/>
        <v>0</v>
      </c>
      <c r="AO173" s="130"/>
      <c r="AP173" s="127">
        <f t="shared" si="265"/>
        <v>0</v>
      </c>
      <c r="AQ173" s="127">
        <v>0</v>
      </c>
      <c r="AR173" s="127">
        <v>0</v>
      </c>
      <c r="AS173" s="123"/>
      <c r="AT173" s="123">
        <f t="shared" si="266"/>
        <v>0</v>
      </c>
      <c r="AU173" s="123"/>
      <c r="AV173" s="126">
        <f t="shared" si="267"/>
        <v>0</v>
      </c>
      <c r="AW173" s="123"/>
      <c r="AX173" s="123">
        <f t="shared" si="268"/>
        <v>0</v>
      </c>
      <c r="AY173" s="131"/>
      <c r="AZ173" s="123">
        <f t="shared" si="269"/>
        <v>0</v>
      </c>
      <c r="BA173" s="123"/>
      <c r="BB173" s="123">
        <f t="shared" si="270"/>
        <v>0</v>
      </c>
      <c r="BC173" s="123"/>
      <c r="BD173" s="126">
        <f t="shared" si="271"/>
        <v>0</v>
      </c>
      <c r="BE173" s="123"/>
      <c r="BF173" s="123">
        <f t="shared" si="272"/>
        <v>0</v>
      </c>
      <c r="BG173" s="123"/>
      <c r="BH173" s="123">
        <f t="shared" si="273"/>
        <v>0</v>
      </c>
      <c r="BI173" s="123"/>
      <c r="BJ173" s="126">
        <f t="shared" si="274"/>
        <v>0</v>
      </c>
      <c r="BK173" s="123"/>
      <c r="BL173" s="127">
        <f t="shared" si="275"/>
        <v>0</v>
      </c>
      <c r="BM173" s="123"/>
      <c r="BN173" s="123">
        <f t="shared" si="276"/>
        <v>0</v>
      </c>
      <c r="BO173" s="123"/>
      <c r="BP173" s="123">
        <f t="shared" si="277"/>
        <v>0</v>
      </c>
      <c r="BQ173" s="123"/>
      <c r="BR173" s="123">
        <f t="shared" si="278"/>
        <v>0</v>
      </c>
      <c r="BS173" s="123"/>
      <c r="BT173" s="123">
        <f t="shared" si="279"/>
        <v>0</v>
      </c>
      <c r="BU173" s="123"/>
      <c r="BV173" s="126">
        <f t="shared" si="280"/>
        <v>0</v>
      </c>
      <c r="BW173" s="123"/>
      <c r="BX173" s="123">
        <f t="shared" si="281"/>
        <v>0</v>
      </c>
      <c r="BY173" s="123"/>
      <c r="BZ173" s="123">
        <f t="shared" si="282"/>
        <v>0</v>
      </c>
      <c r="CA173" s="123"/>
      <c r="CB173" s="123">
        <f t="shared" si="283"/>
        <v>0</v>
      </c>
      <c r="CC173" s="123"/>
      <c r="CD173" s="123">
        <f t="shared" si="284"/>
        <v>0</v>
      </c>
      <c r="CE173" s="123"/>
      <c r="CF173" s="123">
        <f t="shared" si="285"/>
        <v>0</v>
      </c>
      <c r="CG173" s="132"/>
      <c r="CH173" s="123">
        <f t="shared" si="286"/>
        <v>0</v>
      </c>
      <c r="CI173" s="123"/>
      <c r="CJ173" s="127">
        <f t="shared" si="287"/>
        <v>0</v>
      </c>
      <c r="CK173" s="123"/>
      <c r="CL173" s="123">
        <f t="shared" si="288"/>
        <v>0</v>
      </c>
      <c r="CM173" s="130"/>
      <c r="CN173" s="123">
        <f t="shared" si="289"/>
        <v>0</v>
      </c>
      <c r="CO173" s="123"/>
      <c r="CP173" s="123">
        <f t="shared" si="290"/>
        <v>0</v>
      </c>
      <c r="CQ173" s="123"/>
      <c r="CR173" s="123">
        <f t="shared" si="291"/>
        <v>0</v>
      </c>
      <c r="CS173" s="123"/>
      <c r="CT173" s="133">
        <f t="shared" si="292"/>
        <v>0</v>
      </c>
      <c r="CU173" s="127"/>
      <c r="CV173" s="123">
        <f t="shared" si="293"/>
        <v>0</v>
      </c>
      <c r="CW173" s="126">
        <f t="shared" si="294"/>
        <v>17</v>
      </c>
      <c r="CX173" s="126">
        <f t="shared" si="294"/>
        <v>1300462.4481333334</v>
      </c>
    </row>
    <row r="174" spans="1:102" ht="45" customHeight="1" x14ac:dyDescent="0.25">
      <c r="A174" s="91"/>
      <c r="B174" s="116">
        <v>142</v>
      </c>
      <c r="C174" s="168" t="s">
        <v>437</v>
      </c>
      <c r="D174" s="161" t="s">
        <v>438</v>
      </c>
      <c r="E174" s="95">
        <v>28004</v>
      </c>
      <c r="F174" s="96">
        <v>29405</v>
      </c>
      <c r="G174" s="119">
        <v>2.77</v>
      </c>
      <c r="H174" s="107">
        <v>1</v>
      </c>
      <c r="I174" s="108"/>
      <c r="J174" s="108"/>
      <c r="K174" s="108"/>
      <c r="L174" s="63"/>
      <c r="M174" s="120">
        <v>1.4</v>
      </c>
      <c r="N174" s="120">
        <v>1.68</v>
      </c>
      <c r="O174" s="120">
        <v>2.23</v>
      </c>
      <c r="P174" s="121">
        <v>2.57</v>
      </c>
      <c r="Q174" s="122">
        <v>16</v>
      </c>
      <c r="R174" s="123">
        <f t="shared" si="254"/>
        <v>1991036.5551999996</v>
      </c>
      <c r="S174" s="124"/>
      <c r="T174" s="125">
        <f t="shared" si="255"/>
        <v>0</v>
      </c>
      <c r="U174" s="123"/>
      <c r="V174" s="123">
        <f t="shared" si="256"/>
        <v>0</v>
      </c>
      <c r="W174" s="123"/>
      <c r="X174" s="126">
        <f t="shared" si="257"/>
        <v>0</v>
      </c>
      <c r="Y174" s="123">
        <f>273+9</f>
        <v>282</v>
      </c>
      <c r="Z174" s="123">
        <f t="shared" si="258"/>
        <v>42786733.894100003</v>
      </c>
      <c r="AA174" s="123"/>
      <c r="AB174" s="123">
        <f t="shared" si="259"/>
        <v>0</v>
      </c>
      <c r="AC174" s="123"/>
      <c r="AD174" s="123"/>
      <c r="AE174" s="123">
        <v>2</v>
      </c>
      <c r="AF174" s="127">
        <f t="shared" si="260"/>
        <v>248879.56939999995</v>
      </c>
      <c r="AG174" s="123">
        <v>12</v>
      </c>
      <c r="AH174" s="126">
        <f t="shared" si="261"/>
        <v>1493277.4164</v>
      </c>
      <c r="AI174" s="130"/>
      <c r="AJ174" s="123">
        <f t="shared" si="262"/>
        <v>0</v>
      </c>
      <c r="AK174" s="123"/>
      <c r="AL174" s="123">
        <f t="shared" si="263"/>
        <v>0</v>
      </c>
      <c r="AM174" s="132">
        <f>13+21</f>
        <v>34</v>
      </c>
      <c r="AN174" s="123">
        <f t="shared" si="264"/>
        <v>6190421.0740400013</v>
      </c>
      <c r="AO174" s="130"/>
      <c r="AP174" s="127">
        <f t="shared" si="265"/>
        <v>0</v>
      </c>
      <c r="AQ174" s="127">
        <v>0</v>
      </c>
      <c r="AR174" s="127">
        <v>0</v>
      </c>
      <c r="AS174" s="123"/>
      <c r="AT174" s="123">
        <f t="shared" si="266"/>
        <v>0</v>
      </c>
      <c r="AU174" s="123"/>
      <c r="AV174" s="126">
        <f t="shared" si="267"/>
        <v>0</v>
      </c>
      <c r="AW174" s="123"/>
      <c r="AX174" s="123">
        <f t="shared" si="268"/>
        <v>0</v>
      </c>
      <c r="AY174" s="131"/>
      <c r="AZ174" s="123">
        <f t="shared" si="269"/>
        <v>0</v>
      </c>
      <c r="BA174" s="123"/>
      <c r="BB174" s="123">
        <f t="shared" si="270"/>
        <v>0</v>
      </c>
      <c r="BC174" s="123"/>
      <c r="BD174" s="126">
        <f t="shared" si="271"/>
        <v>0</v>
      </c>
      <c r="BE174" s="123"/>
      <c r="BF174" s="123">
        <f t="shared" si="272"/>
        <v>0</v>
      </c>
      <c r="BG174" s="123"/>
      <c r="BH174" s="123">
        <f t="shared" si="273"/>
        <v>0</v>
      </c>
      <c r="BI174" s="123"/>
      <c r="BJ174" s="126">
        <f t="shared" si="274"/>
        <v>0</v>
      </c>
      <c r="BK174" s="123"/>
      <c r="BL174" s="127">
        <f t="shared" si="275"/>
        <v>0</v>
      </c>
      <c r="BM174" s="123"/>
      <c r="BN174" s="123">
        <f t="shared" si="276"/>
        <v>0</v>
      </c>
      <c r="BO174" s="123"/>
      <c r="BP174" s="123">
        <f t="shared" si="277"/>
        <v>0</v>
      </c>
      <c r="BQ174" s="123"/>
      <c r="BR174" s="123">
        <f t="shared" si="278"/>
        <v>0</v>
      </c>
      <c r="BS174" s="123"/>
      <c r="BT174" s="123">
        <f t="shared" si="279"/>
        <v>0</v>
      </c>
      <c r="BU174" s="123"/>
      <c r="BV174" s="126">
        <f t="shared" si="280"/>
        <v>0</v>
      </c>
      <c r="BW174" s="123"/>
      <c r="BX174" s="123">
        <f t="shared" si="281"/>
        <v>0</v>
      </c>
      <c r="BY174" s="123"/>
      <c r="BZ174" s="123">
        <f t="shared" si="282"/>
        <v>0</v>
      </c>
      <c r="CA174" s="123"/>
      <c r="CB174" s="123">
        <f t="shared" si="283"/>
        <v>0</v>
      </c>
      <c r="CC174" s="123"/>
      <c r="CD174" s="123">
        <f t="shared" si="284"/>
        <v>0</v>
      </c>
      <c r="CE174" s="123"/>
      <c r="CF174" s="123">
        <f t="shared" si="285"/>
        <v>0</v>
      </c>
      <c r="CG174" s="132"/>
      <c r="CH174" s="123">
        <f t="shared" si="286"/>
        <v>0</v>
      </c>
      <c r="CI174" s="123"/>
      <c r="CJ174" s="127">
        <f t="shared" si="287"/>
        <v>0</v>
      </c>
      <c r="CK174" s="123"/>
      <c r="CL174" s="123">
        <f t="shared" si="288"/>
        <v>0</v>
      </c>
      <c r="CM174" s="130"/>
      <c r="CN174" s="123">
        <f t="shared" si="289"/>
        <v>0</v>
      </c>
      <c r="CO174" s="123"/>
      <c r="CP174" s="123">
        <f t="shared" si="290"/>
        <v>0</v>
      </c>
      <c r="CQ174" s="123"/>
      <c r="CR174" s="123">
        <f t="shared" si="291"/>
        <v>0</v>
      </c>
      <c r="CS174" s="123"/>
      <c r="CT174" s="133">
        <f t="shared" si="292"/>
        <v>0</v>
      </c>
      <c r="CU174" s="127"/>
      <c r="CV174" s="123">
        <f t="shared" si="293"/>
        <v>0</v>
      </c>
      <c r="CW174" s="126">
        <f t="shared" si="294"/>
        <v>346</v>
      </c>
      <c r="CX174" s="126">
        <f t="shared" si="294"/>
        <v>52710348.509140007</v>
      </c>
    </row>
    <row r="175" spans="1:102" ht="45" customHeight="1" x14ac:dyDescent="0.25">
      <c r="A175" s="91"/>
      <c r="B175" s="116">
        <v>143</v>
      </c>
      <c r="C175" s="168" t="s">
        <v>439</v>
      </c>
      <c r="D175" s="161" t="s">
        <v>440</v>
      </c>
      <c r="E175" s="95">
        <v>28004</v>
      </c>
      <c r="F175" s="96">
        <v>29405</v>
      </c>
      <c r="G175" s="119">
        <v>4.32</v>
      </c>
      <c r="H175" s="107">
        <v>1</v>
      </c>
      <c r="I175" s="108"/>
      <c r="J175" s="108"/>
      <c r="K175" s="108"/>
      <c r="L175" s="63"/>
      <c r="M175" s="120">
        <v>1.4</v>
      </c>
      <c r="N175" s="120">
        <v>1.68</v>
      </c>
      <c r="O175" s="120">
        <v>2.23</v>
      </c>
      <c r="P175" s="121">
        <v>2.57</v>
      </c>
      <c r="Q175" s="122">
        <v>3</v>
      </c>
      <c r="R175" s="123">
        <f t="shared" si="254"/>
        <v>582216.4656</v>
      </c>
      <c r="S175" s="124"/>
      <c r="T175" s="125">
        <f t="shared" si="255"/>
        <v>0</v>
      </c>
      <c r="U175" s="123"/>
      <c r="V175" s="123">
        <f t="shared" si="256"/>
        <v>0</v>
      </c>
      <c r="W175" s="123"/>
      <c r="X175" s="126">
        <f t="shared" si="257"/>
        <v>0</v>
      </c>
      <c r="Y175" s="123">
        <f>92-56</f>
        <v>36</v>
      </c>
      <c r="Z175" s="123">
        <f t="shared" si="258"/>
        <v>8518566.2687999997</v>
      </c>
      <c r="AA175" s="123"/>
      <c r="AB175" s="123">
        <f t="shared" si="259"/>
        <v>0</v>
      </c>
      <c r="AC175" s="123"/>
      <c r="AD175" s="123"/>
      <c r="AE175" s="123"/>
      <c r="AF175" s="123">
        <f t="shared" si="260"/>
        <v>0</v>
      </c>
      <c r="AG175" s="135">
        <v>0</v>
      </c>
      <c r="AH175" s="136">
        <f t="shared" si="261"/>
        <v>0</v>
      </c>
      <c r="AI175" s="123"/>
      <c r="AJ175" s="123">
        <f t="shared" si="262"/>
        <v>0</v>
      </c>
      <c r="AK175" s="123"/>
      <c r="AL175" s="123">
        <f t="shared" si="263"/>
        <v>0</v>
      </c>
      <c r="AM175" s="132">
        <v>7</v>
      </c>
      <c r="AN175" s="123">
        <f t="shared" si="264"/>
        <v>1987665.4627200002</v>
      </c>
      <c r="AO175" s="130"/>
      <c r="AP175" s="127">
        <f t="shared" si="265"/>
        <v>0</v>
      </c>
      <c r="AQ175" s="127">
        <v>0</v>
      </c>
      <c r="AR175" s="127">
        <v>0</v>
      </c>
      <c r="AS175" s="123"/>
      <c r="AT175" s="123">
        <f t="shared" si="266"/>
        <v>0</v>
      </c>
      <c r="AU175" s="123"/>
      <c r="AV175" s="126">
        <f t="shared" si="267"/>
        <v>0</v>
      </c>
      <c r="AW175" s="123"/>
      <c r="AX175" s="123">
        <f t="shared" si="268"/>
        <v>0</v>
      </c>
      <c r="AY175" s="131">
        <v>0</v>
      </c>
      <c r="AZ175" s="123">
        <f t="shared" si="269"/>
        <v>0</v>
      </c>
      <c r="BA175" s="123"/>
      <c r="BB175" s="123">
        <f t="shared" si="270"/>
        <v>0</v>
      </c>
      <c r="BC175" s="123"/>
      <c r="BD175" s="126">
        <f t="shared" si="271"/>
        <v>0</v>
      </c>
      <c r="BE175" s="123"/>
      <c r="BF175" s="123">
        <f t="shared" si="272"/>
        <v>0</v>
      </c>
      <c r="BG175" s="123"/>
      <c r="BH175" s="123">
        <f t="shared" si="273"/>
        <v>0</v>
      </c>
      <c r="BI175" s="123"/>
      <c r="BJ175" s="126">
        <f t="shared" si="274"/>
        <v>0</v>
      </c>
      <c r="BK175" s="123"/>
      <c r="BL175" s="127">
        <f t="shared" si="275"/>
        <v>0</v>
      </c>
      <c r="BM175" s="123"/>
      <c r="BN175" s="123">
        <f t="shared" si="276"/>
        <v>0</v>
      </c>
      <c r="BO175" s="123"/>
      <c r="BP175" s="123">
        <f t="shared" si="277"/>
        <v>0</v>
      </c>
      <c r="BQ175" s="123"/>
      <c r="BR175" s="123">
        <f t="shared" si="278"/>
        <v>0</v>
      </c>
      <c r="BS175" s="123"/>
      <c r="BT175" s="123">
        <f t="shared" si="279"/>
        <v>0</v>
      </c>
      <c r="BU175" s="123"/>
      <c r="BV175" s="126">
        <f t="shared" si="280"/>
        <v>0</v>
      </c>
      <c r="BW175" s="123"/>
      <c r="BX175" s="123">
        <f t="shared" si="281"/>
        <v>0</v>
      </c>
      <c r="BY175" s="123"/>
      <c r="BZ175" s="123">
        <f t="shared" si="282"/>
        <v>0</v>
      </c>
      <c r="CA175" s="123"/>
      <c r="CB175" s="123">
        <f t="shared" si="283"/>
        <v>0</v>
      </c>
      <c r="CC175" s="123"/>
      <c r="CD175" s="123">
        <f t="shared" si="284"/>
        <v>0</v>
      </c>
      <c r="CE175" s="123"/>
      <c r="CF175" s="123">
        <f t="shared" si="285"/>
        <v>0</v>
      </c>
      <c r="CG175" s="132"/>
      <c r="CH175" s="123">
        <f t="shared" si="286"/>
        <v>0</v>
      </c>
      <c r="CI175" s="123"/>
      <c r="CJ175" s="127">
        <f t="shared" si="287"/>
        <v>0</v>
      </c>
      <c r="CK175" s="123"/>
      <c r="CL175" s="123">
        <f t="shared" si="288"/>
        <v>0</v>
      </c>
      <c r="CM175" s="130"/>
      <c r="CN175" s="123">
        <f t="shared" si="289"/>
        <v>0</v>
      </c>
      <c r="CO175" s="123"/>
      <c r="CP175" s="123">
        <f t="shared" si="290"/>
        <v>0</v>
      </c>
      <c r="CQ175" s="123"/>
      <c r="CR175" s="123">
        <f t="shared" si="291"/>
        <v>0</v>
      </c>
      <c r="CS175" s="123"/>
      <c r="CT175" s="133">
        <f t="shared" si="292"/>
        <v>0</v>
      </c>
      <c r="CU175" s="127"/>
      <c r="CV175" s="123">
        <f t="shared" si="293"/>
        <v>0</v>
      </c>
      <c r="CW175" s="126">
        <f t="shared" si="294"/>
        <v>46</v>
      </c>
      <c r="CX175" s="126">
        <f t="shared" si="294"/>
        <v>11088448.19712</v>
      </c>
    </row>
    <row r="176" spans="1:102" ht="30" customHeight="1" x14ac:dyDescent="0.25">
      <c r="A176" s="91"/>
      <c r="B176" s="116">
        <v>144</v>
      </c>
      <c r="C176" s="168" t="s">
        <v>441</v>
      </c>
      <c r="D176" s="161" t="s">
        <v>442</v>
      </c>
      <c r="E176" s="95">
        <v>28004</v>
      </c>
      <c r="F176" s="96">
        <v>29405</v>
      </c>
      <c r="G176" s="119">
        <v>1.29</v>
      </c>
      <c r="H176" s="107">
        <v>1</v>
      </c>
      <c r="I176" s="108"/>
      <c r="J176" s="108"/>
      <c r="K176" s="108"/>
      <c r="L176" s="63"/>
      <c r="M176" s="120">
        <v>1.4</v>
      </c>
      <c r="N176" s="120">
        <v>1.68</v>
      </c>
      <c r="O176" s="120">
        <v>2.23</v>
      </c>
      <c r="P176" s="121">
        <v>2.57</v>
      </c>
      <c r="Q176" s="122">
        <v>5</v>
      </c>
      <c r="R176" s="123">
        <f t="shared" si="254"/>
        <v>289760.50950000004</v>
      </c>
      <c r="S176" s="124"/>
      <c r="T176" s="125">
        <f t="shared" si="255"/>
        <v>0</v>
      </c>
      <c r="U176" s="123"/>
      <c r="V176" s="123">
        <f t="shared" si="256"/>
        <v>0</v>
      </c>
      <c r="W176" s="123"/>
      <c r="X176" s="126">
        <f t="shared" si="257"/>
        <v>0</v>
      </c>
      <c r="Y176" s="123">
        <f>37+3</f>
        <v>40</v>
      </c>
      <c r="Z176" s="123">
        <f t="shared" si="258"/>
        <v>2826376.1540000006</v>
      </c>
      <c r="AA176" s="123"/>
      <c r="AB176" s="123">
        <f t="shared" si="259"/>
        <v>0</v>
      </c>
      <c r="AC176" s="123"/>
      <c r="AD176" s="123"/>
      <c r="AE176" s="123"/>
      <c r="AF176" s="127">
        <f t="shared" si="260"/>
        <v>0</v>
      </c>
      <c r="AG176" s="123">
        <v>3</v>
      </c>
      <c r="AH176" s="126">
        <f t="shared" si="261"/>
        <v>173856.3057</v>
      </c>
      <c r="AI176" s="130"/>
      <c r="AJ176" s="123">
        <f t="shared" si="262"/>
        <v>0</v>
      </c>
      <c r="AK176" s="123"/>
      <c r="AL176" s="123">
        <f t="shared" si="263"/>
        <v>0</v>
      </c>
      <c r="AM176" s="212">
        <f>71-26</f>
        <v>45</v>
      </c>
      <c r="AN176" s="123">
        <f t="shared" si="264"/>
        <v>3815607.8079000004</v>
      </c>
      <c r="AO176" s="130"/>
      <c r="AP176" s="127">
        <f t="shared" si="265"/>
        <v>0</v>
      </c>
      <c r="AQ176" s="127">
        <v>0</v>
      </c>
      <c r="AR176" s="127">
        <v>0</v>
      </c>
      <c r="AS176" s="123"/>
      <c r="AT176" s="123">
        <f t="shared" si="266"/>
        <v>0</v>
      </c>
      <c r="AU176" s="123"/>
      <c r="AV176" s="126">
        <f t="shared" si="267"/>
        <v>0</v>
      </c>
      <c r="AW176" s="123"/>
      <c r="AX176" s="123">
        <f t="shared" si="268"/>
        <v>0</v>
      </c>
      <c r="AY176" s="131">
        <v>0</v>
      </c>
      <c r="AZ176" s="123">
        <f t="shared" si="269"/>
        <v>0</v>
      </c>
      <c r="BA176" s="123"/>
      <c r="BB176" s="123">
        <f t="shared" si="270"/>
        <v>0</v>
      </c>
      <c r="BC176" s="123"/>
      <c r="BD176" s="126">
        <f t="shared" si="271"/>
        <v>0</v>
      </c>
      <c r="BE176" s="123"/>
      <c r="BF176" s="123">
        <f t="shared" si="272"/>
        <v>0</v>
      </c>
      <c r="BG176" s="123"/>
      <c r="BH176" s="123">
        <f t="shared" si="273"/>
        <v>0</v>
      </c>
      <c r="BI176" s="123"/>
      <c r="BJ176" s="126">
        <f t="shared" si="274"/>
        <v>0</v>
      </c>
      <c r="BK176" s="123"/>
      <c r="BL176" s="127">
        <f t="shared" si="275"/>
        <v>0</v>
      </c>
      <c r="BM176" s="123"/>
      <c r="BN176" s="123">
        <f t="shared" si="276"/>
        <v>0</v>
      </c>
      <c r="BO176" s="123"/>
      <c r="BP176" s="123">
        <f t="shared" si="277"/>
        <v>0</v>
      </c>
      <c r="BQ176" s="123"/>
      <c r="BR176" s="123">
        <f t="shared" si="278"/>
        <v>0</v>
      </c>
      <c r="BS176" s="123"/>
      <c r="BT176" s="123">
        <f t="shared" si="279"/>
        <v>0</v>
      </c>
      <c r="BU176" s="123"/>
      <c r="BV176" s="126">
        <f t="shared" si="280"/>
        <v>0</v>
      </c>
      <c r="BW176" s="123"/>
      <c r="BX176" s="123">
        <f t="shared" si="281"/>
        <v>0</v>
      </c>
      <c r="BY176" s="123"/>
      <c r="BZ176" s="123">
        <f t="shared" si="282"/>
        <v>0</v>
      </c>
      <c r="CA176" s="123"/>
      <c r="CB176" s="123">
        <f t="shared" si="283"/>
        <v>0</v>
      </c>
      <c r="CC176" s="123"/>
      <c r="CD176" s="123">
        <f t="shared" si="284"/>
        <v>0</v>
      </c>
      <c r="CE176" s="123"/>
      <c r="CF176" s="123">
        <f t="shared" si="285"/>
        <v>0</v>
      </c>
      <c r="CG176" s="132"/>
      <c r="CH176" s="123">
        <f t="shared" si="286"/>
        <v>0</v>
      </c>
      <c r="CI176" s="123"/>
      <c r="CJ176" s="127">
        <f t="shared" si="287"/>
        <v>0</v>
      </c>
      <c r="CK176" s="123"/>
      <c r="CL176" s="123">
        <f t="shared" si="288"/>
        <v>0</v>
      </c>
      <c r="CM176" s="130"/>
      <c r="CN176" s="123">
        <f t="shared" si="289"/>
        <v>0</v>
      </c>
      <c r="CO176" s="123"/>
      <c r="CP176" s="123">
        <f t="shared" si="290"/>
        <v>0</v>
      </c>
      <c r="CQ176" s="123"/>
      <c r="CR176" s="123">
        <f t="shared" si="291"/>
        <v>0</v>
      </c>
      <c r="CS176" s="123"/>
      <c r="CT176" s="133">
        <f t="shared" si="292"/>
        <v>0</v>
      </c>
      <c r="CU176" s="127"/>
      <c r="CV176" s="123">
        <f t="shared" si="293"/>
        <v>0</v>
      </c>
      <c r="CW176" s="126">
        <f t="shared" si="294"/>
        <v>93</v>
      </c>
      <c r="CX176" s="126">
        <f t="shared" si="294"/>
        <v>7105600.7771000005</v>
      </c>
    </row>
    <row r="177" spans="1:102" ht="30" customHeight="1" x14ac:dyDescent="0.25">
      <c r="A177" s="91"/>
      <c r="B177" s="116">
        <v>145</v>
      </c>
      <c r="C177" s="117" t="s">
        <v>443</v>
      </c>
      <c r="D177" s="161" t="s">
        <v>444</v>
      </c>
      <c r="E177" s="95">
        <v>28004</v>
      </c>
      <c r="F177" s="96">
        <v>29405</v>
      </c>
      <c r="G177" s="119">
        <v>1.55</v>
      </c>
      <c r="H177" s="107">
        <v>1</v>
      </c>
      <c r="I177" s="108"/>
      <c r="J177" s="108"/>
      <c r="K177" s="108"/>
      <c r="L177" s="63"/>
      <c r="M177" s="120">
        <v>1.4</v>
      </c>
      <c r="N177" s="120">
        <v>1.68</v>
      </c>
      <c r="O177" s="120">
        <v>2.23</v>
      </c>
      <c r="P177" s="121">
        <v>2.57</v>
      </c>
      <c r="Q177" s="122">
        <v>37</v>
      </c>
      <c r="R177" s="123">
        <f t="shared" si="254"/>
        <v>2576397.7085000002</v>
      </c>
      <c r="S177" s="124"/>
      <c r="T177" s="125">
        <f t="shared" si="255"/>
        <v>0</v>
      </c>
      <c r="U177" s="123"/>
      <c r="V177" s="123">
        <f t="shared" si="256"/>
        <v>0</v>
      </c>
      <c r="W177" s="123"/>
      <c r="X177" s="126">
        <f t="shared" si="257"/>
        <v>0</v>
      </c>
      <c r="Y177" s="123">
        <f>1-1</f>
        <v>0</v>
      </c>
      <c r="Z177" s="123">
        <f t="shared" si="258"/>
        <v>0</v>
      </c>
      <c r="AA177" s="123"/>
      <c r="AB177" s="123">
        <f t="shared" si="259"/>
        <v>0</v>
      </c>
      <c r="AC177" s="123"/>
      <c r="AD177" s="123"/>
      <c r="AE177" s="123"/>
      <c r="AF177" s="123">
        <f t="shared" si="260"/>
        <v>0</v>
      </c>
      <c r="AG177" s="135">
        <v>0</v>
      </c>
      <c r="AH177" s="136">
        <f t="shared" si="261"/>
        <v>0</v>
      </c>
      <c r="AI177" s="123"/>
      <c r="AJ177" s="123">
        <f t="shared" si="262"/>
        <v>0</v>
      </c>
      <c r="AK177" s="123"/>
      <c r="AL177" s="123">
        <f t="shared" si="263"/>
        <v>0</v>
      </c>
      <c r="AM177" s="129"/>
      <c r="AN177" s="123">
        <f t="shared" si="264"/>
        <v>0</v>
      </c>
      <c r="AO177" s="130"/>
      <c r="AP177" s="127">
        <f t="shared" si="265"/>
        <v>0</v>
      </c>
      <c r="AQ177" s="127">
        <v>0</v>
      </c>
      <c r="AR177" s="127">
        <v>0</v>
      </c>
      <c r="AS177" s="123"/>
      <c r="AT177" s="123">
        <f t="shared" si="266"/>
        <v>0</v>
      </c>
      <c r="AU177" s="123"/>
      <c r="AV177" s="126">
        <f t="shared" si="267"/>
        <v>0</v>
      </c>
      <c r="AW177" s="123"/>
      <c r="AX177" s="123">
        <f t="shared" si="268"/>
        <v>0</v>
      </c>
      <c r="AY177" s="123">
        <v>0</v>
      </c>
      <c r="AZ177" s="123">
        <f t="shared" si="269"/>
        <v>0</v>
      </c>
      <c r="BA177" s="123"/>
      <c r="BB177" s="123">
        <f t="shared" si="270"/>
        <v>0</v>
      </c>
      <c r="BC177" s="123"/>
      <c r="BD177" s="126">
        <f t="shared" si="271"/>
        <v>0</v>
      </c>
      <c r="BE177" s="123"/>
      <c r="BF177" s="123">
        <f t="shared" si="272"/>
        <v>0</v>
      </c>
      <c r="BG177" s="123"/>
      <c r="BH177" s="123">
        <f t="shared" si="273"/>
        <v>0</v>
      </c>
      <c r="BI177" s="123"/>
      <c r="BJ177" s="126">
        <f t="shared" si="274"/>
        <v>0</v>
      </c>
      <c r="BK177" s="123"/>
      <c r="BL177" s="127">
        <f t="shared" si="275"/>
        <v>0</v>
      </c>
      <c r="BM177" s="123"/>
      <c r="BN177" s="123">
        <f t="shared" si="276"/>
        <v>0</v>
      </c>
      <c r="BO177" s="123"/>
      <c r="BP177" s="123">
        <f t="shared" si="277"/>
        <v>0</v>
      </c>
      <c r="BQ177" s="123"/>
      <c r="BR177" s="123">
        <f t="shared" si="278"/>
        <v>0</v>
      </c>
      <c r="BS177" s="123"/>
      <c r="BT177" s="123">
        <f t="shared" si="279"/>
        <v>0</v>
      </c>
      <c r="BU177" s="123"/>
      <c r="BV177" s="126">
        <f t="shared" si="280"/>
        <v>0</v>
      </c>
      <c r="BW177" s="123"/>
      <c r="BX177" s="123">
        <f t="shared" si="281"/>
        <v>0</v>
      </c>
      <c r="BY177" s="123"/>
      <c r="BZ177" s="123">
        <f t="shared" si="282"/>
        <v>0</v>
      </c>
      <c r="CA177" s="123"/>
      <c r="CB177" s="123">
        <f t="shared" si="283"/>
        <v>0</v>
      </c>
      <c r="CC177" s="123"/>
      <c r="CD177" s="123">
        <f t="shared" si="284"/>
        <v>0</v>
      </c>
      <c r="CE177" s="123"/>
      <c r="CF177" s="123">
        <f t="shared" si="285"/>
        <v>0</v>
      </c>
      <c r="CG177" s="132"/>
      <c r="CH177" s="123">
        <f t="shared" si="286"/>
        <v>0</v>
      </c>
      <c r="CI177" s="123"/>
      <c r="CJ177" s="127">
        <f t="shared" si="287"/>
        <v>0</v>
      </c>
      <c r="CK177" s="123"/>
      <c r="CL177" s="123">
        <f t="shared" si="288"/>
        <v>0</v>
      </c>
      <c r="CM177" s="130"/>
      <c r="CN177" s="123">
        <f t="shared" si="289"/>
        <v>0</v>
      </c>
      <c r="CO177" s="123"/>
      <c r="CP177" s="123">
        <f t="shared" si="290"/>
        <v>0</v>
      </c>
      <c r="CQ177" s="123"/>
      <c r="CR177" s="123">
        <f t="shared" si="291"/>
        <v>0</v>
      </c>
      <c r="CS177" s="123"/>
      <c r="CT177" s="133">
        <f t="shared" si="292"/>
        <v>0</v>
      </c>
      <c r="CU177" s="127"/>
      <c r="CV177" s="123">
        <f t="shared" si="293"/>
        <v>0</v>
      </c>
      <c r="CW177" s="126">
        <f t="shared" si="294"/>
        <v>37</v>
      </c>
      <c r="CX177" s="126">
        <f t="shared" si="294"/>
        <v>2576397.7085000002</v>
      </c>
    </row>
    <row r="178" spans="1:102" ht="30" customHeight="1" x14ac:dyDescent="0.25">
      <c r="A178" s="91"/>
      <c r="B178" s="116">
        <v>146</v>
      </c>
      <c r="C178" s="117" t="s">
        <v>445</v>
      </c>
      <c r="D178" s="161" t="s">
        <v>446</v>
      </c>
      <c r="E178" s="95">
        <v>28004</v>
      </c>
      <c r="F178" s="96">
        <v>29405</v>
      </c>
      <c r="G178" s="119">
        <v>2.66</v>
      </c>
      <c r="H178" s="107">
        <v>1</v>
      </c>
      <c r="I178" s="108"/>
      <c r="J178" s="108"/>
      <c r="K178" s="108"/>
      <c r="L178" s="63"/>
      <c r="M178" s="120">
        <v>1.4</v>
      </c>
      <c r="N178" s="120">
        <v>1.68</v>
      </c>
      <c r="O178" s="120">
        <v>2.23</v>
      </c>
      <c r="P178" s="121">
        <v>2.57</v>
      </c>
      <c r="Q178" s="122">
        <v>10</v>
      </c>
      <c r="R178" s="123">
        <f t="shared" si="254"/>
        <v>1194981.3260000001</v>
      </c>
      <c r="S178" s="124"/>
      <c r="T178" s="125">
        <f t="shared" si="255"/>
        <v>0</v>
      </c>
      <c r="U178" s="123"/>
      <c r="V178" s="123">
        <f t="shared" si="256"/>
        <v>0</v>
      </c>
      <c r="W178" s="123"/>
      <c r="X178" s="126">
        <f t="shared" si="257"/>
        <v>0</v>
      </c>
      <c r="Y178" s="123">
        <f>5+15</f>
        <v>20</v>
      </c>
      <c r="Z178" s="123">
        <f t="shared" si="258"/>
        <v>2914015.7246666667</v>
      </c>
      <c r="AA178" s="123"/>
      <c r="AB178" s="123">
        <f t="shared" si="259"/>
        <v>0</v>
      </c>
      <c r="AC178" s="123"/>
      <c r="AD178" s="123"/>
      <c r="AE178" s="123"/>
      <c r="AF178" s="123">
        <f t="shared" si="260"/>
        <v>0</v>
      </c>
      <c r="AG178" s="123">
        <v>0</v>
      </c>
      <c r="AH178" s="126">
        <f t="shared" si="261"/>
        <v>0</v>
      </c>
      <c r="AI178" s="123"/>
      <c r="AJ178" s="123">
        <f t="shared" si="262"/>
        <v>0</v>
      </c>
      <c r="AK178" s="123"/>
      <c r="AL178" s="123">
        <f t="shared" si="263"/>
        <v>0</v>
      </c>
      <c r="AM178" s="132">
        <v>5</v>
      </c>
      <c r="AN178" s="123">
        <f t="shared" si="264"/>
        <v>874204.71739999996</v>
      </c>
      <c r="AO178" s="130"/>
      <c r="AP178" s="127">
        <f t="shared" si="265"/>
        <v>0</v>
      </c>
      <c r="AQ178" s="127">
        <v>0</v>
      </c>
      <c r="AR178" s="127">
        <v>0</v>
      </c>
      <c r="AS178" s="123"/>
      <c r="AT178" s="123">
        <f t="shared" si="266"/>
        <v>0</v>
      </c>
      <c r="AU178" s="123"/>
      <c r="AV178" s="126">
        <f t="shared" si="267"/>
        <v>0</v>
      </c>
      <c r="AW178" s="123"/>
      <c r="AX178" s="123">
        <f t="shared" si="268"/>
        <v>0</v>
      </c>
      <c r="AY178" s="123">
        <v>0</v>
      </c>
      <c r="AZ178" s="123">
        <f t="shared" si="269"/>
        <v>0</v>
      </c>
      <c r="BA178" s="123"/>
      <c r="BB178" s="123">
        <f t="shared" si="270"/>
        <v>0</v>
      </c>
      <c r="BC178" s="123"/>
      <c r="BD178" s="126">
        <f t="shared" si="271"/>
        <v>0</v>
      </c>
      <c r="BE178" s="123"/>
      <c r="BF178" s="123">
        <f t="shared" si="272"/>
        <v>0</v>
      </c>
      <c r="BG178" s="123"/>
      <c r="BH178" s="123">
        <f t="shared" si="273"/>
        <v>0</v>
      </c>
      <c r="BI178" s="123"/>
      <c r="BJ178" s="126">
        <f t="shared" si="274"/>
        <v>0</v>
      </c>
      <c r="BK178" s="123"/>
      <c r="BL178" s="127">
        <f t="shared" si="275"/>
        <v>0</v>
      </c>
      <c r="BM178" s="123"/>
      <c r="BN178" s="123">
        <f t="shared" si="276"/>
        <v>0</v>
      </c>
      <c r="BO178" s="123"/>
      <c r="BP178" s="123">
        <f t="shared" si="277"/>
        <v>0</v>
      </c>
      <c r="BQ178" s="123"/>
      <c r="BR178" s="123">
        <f t="shared" si="278"/>
        <v>0</v>
      </c>
      <c r="BS178" s="123"/>
      <c r="BT178" s="123">
        <f t="shared" si="279"/>
        <v>0</v>
      </c>
      <c r="BU178" s="123"/>
      <c r="BV178" s="126">
        <f t="shared" si="280"/>
        <v>0</v>
      </c>
      <c r="BW178" s="123"/>
      <c r="BX178" s="123">
        <f t="shared" si="281"/>
        <v>0</v>
      </c>
      <c r="BY178" s="123"/>
      <c r="BZ178" s="123">
        <f t="shared" si="282"/>
        <v>0</v>
      </c>
      <c r="CA178" s="123"/>
      <c r="CB178" s="123">
        <f t="shared" si="283"/>
        <v>0</v>
      </c>
      <c r="CC178" s="123"/>
      <c r="CD178" s="123">
        <f t="shared" si="284"/>
        <v>0</v>
      </c>
      <c r="CE178" s="123"/>
      <c r="CF178" s="123">
        <f t="shared" si="285"/>
        <v>0</v>
      </c>
      <c r="CG178" s="132"/>
      <c r="CH178" s="123">
        <f t="shared" si="286"/>
        <v>0</v>
      </c>
      <c r="CI178" s="123"/>
      <c r="CJ178" s="127">
        <f t="shared" si="287"/>
        <v>0</v>
      </c>
      <c r="CK178" s="123"/>
      <c r="CL178" s="123">
        <f t="shared" si="288"/>
        <v>0</v>
      </c>
      <c r="CM178" s="130"/>
      <c r="CN178" s="123">
        <f t="shared" si="289"/>
        <v>0</v>
      </c>
      <c r="CO178" s="123"/>
      <c r="CP178" s="123">
        <f t="shared" si="290"/>
        <v>0</v>
      </c>
      <c r="CQ178" s="123"/>
      <c r="CR178" s="123">
        <f t="shared" si="291"/>
        <v>0</v>
      </c>
      <c r="CS178" s="123"/>
      <c r="CT178" s="133">
        <f t="shared" si="292"/>
        <v>0</v>
      </c>
      <c r="CU178" s="127"/>
      <c r="CV178" s="123">
        <f t="shared" si="293"/>
        <v>0</v>
      </c>
      <c r="CW178" s="126">
        <f t="shared" si="294"/>
        <v>35</v>
      </c>
      <c r="CX178" s="126">
        <f t="shared" si="294"/>
        <v>4983201.768066667</v>
      </c>
    </row>
    <row r="179" spans="1:102" ht="45" customHeight="1" x14ac:dyDescent="0.25">
      <c r="A179" s="91"/>
      <c r="B179" s="116">
        <v>147</v>
      </c>
      <c r="C179" s="117" t="s">
        <v>447</v>
      </c>
      <c r="D179" s="161" t="s">
        <v>448</v>
      </c>
      <c r="E179" s="95">
        <v>28004</v>
      </c>
      <c r="F179" s="96">
        <v>29405</v>
      </c>
      <c r="G179" s="119">
        <v>2.29</v>
      </c>
      <c r="H179" s="107">
        <v>1</v>
      </c>
      <c r="I179" s="108"/>
      <c r="J179" s="108"/>
      <c r="K179" s="108"/>
      <c r="L179" s="63"/>
      <c r="M179" s="120">
        <v>1.4</v>
      </c>
      <c r="N179" s="120">
        <v>1.68</v>
      </c>
      <c r="O179" s="120">
        <v>2.23</v>
      </c>
      <c r="P179" s="121">
        <v>2.57</v>
      </c>
      <c r="Q179" s="122">
        <v>1</v>
      </c>
      <c r="R179" s="123">
        <f t="shared" si="254"/>
        <v>102876.21189999999</v>
      </c>
      <c r="S179" s="124"/>
      <c r="T179" s="125">
        <f t="shared" si="255"/>
        <v>0</v>
      </c>
      <c r="U179" s="123"/>
      <c r="V179" s="123">
        <f t="shared" si="256"/>
        <v>0</v>
      </c>
      <c r="W179" s="123"/>
      <c r="X179" s="126">
        <f t="shared" si="257"/>
        <v>0</v>
      </c>
      <c r="Y179" s="123">
        <f>35+3</f>
        <v>38</v>
      </c>
      <c r="Z179" s="123">
        <f t="shared" si="258"/>
        <v>4766497.1496333331</v>
      </c>
      <c r="AA179" s="123"/>
      <c r="AB179" s="123">
        <f t="shared" si="259"/>
        <v>0</v>
      </c>
      <c r="AC179" s="123"/>
      <c r="AD179" s="123"/>
      <c r="AE179" s="123"/>
      <c r="AF179" s="123">
        <f t="shared" si="260"/>
        <v>0</v>
      </c>
      <c r="AG179" s="123">
        <v>0</v>
      </c>
      <c r="AH179" s="126">
        <f t="shared" si="261"/>
        <v>0</v>
      </c>
      <c r="AI179" s="123"/>
      <c r="AJ179" s="123">
        <f t="shared" si="262"/>
        <v>0</v>
      </c>
      <c r="AK179" s="123"/>
      <c r="AL179" s="123">
        <f t="shared" si="263"/>
        <v>0</v>
      </c>
      <c r="AM179" s="132">
        <f>4+13</f>
        <v>17</v>
      </c>
      <c r="AN179" s="123">
        <f t="shared" si="264"/>
        <v>2558856.3645400004</v>
      </c>
      <c r="AO179" s="130"/>
      <c r="AP179" s="127">
        <f t="shared" si="265"/>
        <v>0</v>
      </c>
      <c r="AQ179" s="127">
        <v>0</v>
      </c>
      <c r="AR179" s="127">
        <v>0</v>
      </c>
      <c r="AS179" s="123"/>
      <c r="AT179" s="123">
        <f t="shared" si="266"/>
        <v>0</v>
      </c>
      <c r="AU179" s="123"/>
      <c r="AV179" s="126">
        <f t="shared" si="267"/>
        <v>0</v>
      </c>
      <c r="AW179" s="123"/>
      <c r="AX179" s="123">
        <f t="shared" si="268"/>
        <v>0</v>
      </c>
      <c r="AY179" s="123">
        <v>0</v>
      </c>
      <c r="AZ179" s="123">
        <f t="shared" si="269"/>
        <v>0</v>
      </c>
      <c r="BA179" s="123"/>
      <c r="BB179" s="123">
        <f t="shared" si="270"/>
        <v>0</v>
      </c>
      <c r="BC179" s="123"/>
      <c r="BD179" s="126">
        <f t="shared" si="271"/>
        <v>0</v>
      </c>
      <c r="BE179" s="123"/>
      <c r="BF179" s="123">
        <f t="shared" si="272"/>
        <v>0</v>
      </c>
      <c r="BG179" s="123"/>
      <c r="BH179" s="123">
        <f t="shared" si="273"/>
        <v>0</v>
      </c>
      <c r="BI179" s="123"/>
      <c r="BJ179" s="126">
        <f t="shared" si="274"/>
        <v>0</v>
      </c>
      <c r="BK179" s="123"/>
      <c r="BL179" s="127">
        <f t="shared" si="275"/>
        <v>0</v>
      </c>
      <c r="BM179" s="123"/>
      <c r="BN179" s="123">
        <f t="shared" si="276"/>
        <v>0</v>
      </c>
      <c r="BO179" s="123"/>
      <c r="BP179" s="123">
        <f t="shared" si="277"/>
        <v>0</v>
      </c>
      <c r="BQ179" s="123"/>
      <c r="BR179" s="123">
        <f t="shared" si="278"/>
        <v>0</v>
      </c>
      <c r="BS179" s="123"/>
      <c r="BT179" s="123">
        <f t="shared" si="279"/>
        <v>0</v>
      </c>
      <c r="BU179" s="123"/>
      <c r="BV179" s="126">
        <f t="shared" si="280"/>
        <v>0</v>
      </c>
      <c r="BW179" s="123"/>
      <c r="BX179" s="123">
        <f t="shared" si="281"/>
        <v>0</v>
      </c>
      <c r="BY179" s="123"/>
      <c r="BZ179" s="123">
        <f t="shared" si="282"/>
        <v>0</v>
      </c>
      <c r="CA179" s="123"/>
      <c r="CB179" s="123">
        <f t="shared" si="283"/>
        <v>0</v>
      </c>
      <c r="CC179" s="123"/>
      <c r="CD179" s="123">
        <f t="shared" si="284"/>
        <v>0</v>
      </c>
      <c r="CE179" s="123"/>
      <c r="CF179" s="123">
        <f t="shared" si="285"/>
        <v>0</v>
      </c>
      <c r="CG179" s="132"/>
      <c r="CH179" s="123">
        <f t="shared" si="286"/>
        <v>0</v>
      </c>
      <c r="CI179" s="123"/>
      <c r="CJ179" s="127">
        <f t="shared" si="287"/>
        <v>0</v>
      </c>
      <c r="CK179" s="123"/>
      <c r="CL179" s="123">
        <f t="shared" si="288"/>
        <v>0</v>
      </c>
      <c r="CM179" s="130"/>
      <c r="CN179" s="123">
        <f t="shared" si="289"/>
        <v>0</v>
      </c>
      <c r="CO179" s="123"/>
      <c r="CP179" s="123">
        <f t="shared" si="290"/>
        <v>0</v>
      </c>
      <c r="CQ179" s="123"/>
      <c r="CR179" s="123">
        <f t="shared" si="291"/>
        <v>0</v>
      </c>
      <c r="CS179" s="123"/>
      <c r="CT179" s="133">
        <f t="shared" si="292"/>
        <v>0</v>
      </c>
      <c r="CU179" s="127"/>
      <c r="CV179" s="123">
        <f t="shared" si="293"/>
        <v>0</v>
      </c>
      <c r="CW179" s="126">
        <f t="shared" si="294"/>
        <v>56</v>
      </c>
      <c r="CX179" s="126">
        <f t="shared" si="294"/>
        <v>7428229.7260733331</v>
      </c>
    </row>
    <row r="180" spans="1:102" ht="45" customHeight="1" x14ac:dyDescent="0.25">
      <c r="A180" s="91"/>
      <c r="B180" s="116">
        <v>148</v>
      </c>
      <c r="C180" s="117" t="s">
        <v>449</v>
      </c>
      <c r="D180" s="161" t="s">
        <v>450</v>
      </c>
      <c r="E180" s="95">
        <v>28004</v>
      </c>
      <c r="F180" s="96">
        <v>29405</v>
      </c>
      <c r="G180" s="119">
        <v>2.4900000000000002</v>
      </c>
      <c r="H180" s="107">
        <v>1</v>
      </c>
      <c r="I180" s="108"/>
      <c r="J180" s="108"/>
      <c r="K180" s="108"/>
      <c r="L180" s="63"/>
      <c r="M180" s="120">
        <v>1.4</v>
      </c>
      <c r="N180" s="120">
        <v>1.68</v>
      </c>
      <c r="O180" s="120">
        <v>2.23</v>
      </c>
      <c r="P180" s="121">
        <v>2.57</v>
      </c>
      <c r="Q180" s="122">
        <v>1</v>
      </c>
      <c r="R180" s="123">
        <f t="shared" si="254"/>
        <v>111861.03390000001</v>
      </c>
      <c r="S180" s="124"/>
      <c r="T180" s="125">
        <f t="shared" si="255"/>
        <v>0</v>
      </c>
      <c r="U180" s="123"/>
      <c r="V180" s="123">
        <f t="shared" si="256"/>
        <v>0</v>
      </c>
      <c r="W180" s="123"/>
      <c r="X180" s="126">
        <f t="shared" si="257"/>
        <v>0</v>
      </c>
      <c r="Y180" s="123">
        <f>35+1</f>
        <v>36</v>
      </c>
      <c r="Z180" s="123">
        <f t="shared" si="258"/>
        <v>4910006.9466000004</v>
      </c>
      <c r="AA180" s="123"/>
      <c r="AB180" s="123">
        <f t="shared" si="259"/>
        <v>0</v>
      </c>
      <c r="AC180" s="123"/>
      <c r="AD180" s="123"/>
      <c r="AE180" s="123"/>
      <c r="AF180" s="123">
        <f t="shared" si="260"/>
        <v>0</v>
      </c>
      <c r="AG180" s="123">
        <v>0</v>
      </c>
      <c r="AH180" s="126">
        <f t="shared" si="261"/>
        <v>0</v>
      </c>
      <c r="AI180" s="123"/>
      <c r="AJ180" s="123">
        <f t="shared" si="262"/>
        <v>0</v>
      </c>
      <c r="AK180" s="123"/>
      <c r="AL180" s="123">
        <f t="shared" si="263"/>
        <v>0</v>
      </c>
      <c r="AM180" s="132">
        <f>7+8</f>
        <v>15</v>
      </c>
      <c r="AN180" s="123">
        <f t="shared" si="264"/>
        <v>2455003.4733000002</v>
      </c>
      <c r="AO180" s="130"/>
      <c r="AP180" s="127">
        <f t="shared" si="265"/>
        <v>0</v>
      </c>
      <c r="AQ180" s="127">
        <v>0</v>
      </c>
      <c r="AR180" s="127">
        <v>0</v>
      </c>
      <c r="AS180" s="123"/>
      <c r="AT180" s="123">
        <f t="shared" si="266"/>
        <v>0</v>
      </c>
      <c r="AU180" s="123"/>
      <c r="AV180" s="126">
        <f t="shared" si="267"/>
        <v>0</v>
      </c>
      <c r="AW180" s="123"/>
      <c r="AX180" s="123">
        <f t="shared" si="268"/>
        <v>0</v>
      </c>
      <c r="AY180" s="123">
        <v>0</v>
      </c>
      <c r="AZ180" s="123">
        <f t="shared" si="269"/>
        <v>0</v>
      </c>
      <c r="BA180" s="123"/>
      <c r="BB180" s="123">
        <f t="shared" si="270"/>
        <v>0</v>
      </c>
      <c r="BC180" s="123"/>
      <c r="BD180" s="126">
        <f t="shared" si="271"/>
        <v>0</v>
      </c>
      <c r="BE180" s="123"/>
      <c r="BF180" s="123">
        <f t="shared" si="272"/>
        <v>0</v>
      </c>
      <c r="BG180" s="123"/>
      <c r="BH180" s="123">
        <f t="shared" si="273"/>
        <v>0</v>
      </c>
      <c r="BI180" s="123"/>
      <c r="BJ180" s="126">
        <f t="shared" si="274"/>
        <v>0</v>
      </c>
      <c r="BK180" s="123"/>
      <c r="BL180" s="127">
        <f t="shared" si="275"/>
        <v>0</v>
      </c>
      <c r="BM180" s="123"/>
      <c r="BN180" s="123">
        <f t="shared" si="276"/>
        <v>0</v>
      </c>
      <c r="BO180" s="123"/>
      <c r="BP180" s="123">
        <f t="shared" si="277"/>
        <v>0</v>
      </c>
      <c r="BQ180" s="123"/>
      <c r="BR180" s="123">
        <f t="shared" si="278"/>
        <v>0</v>
      </c>
      <c r="BS180" s="123"/>
      <c r="BT180" s="123">
        <f t="shared" si="279"/>
        <v>0</v>
      </c>
      <c r="BU180" s="123"/>
      <c r="BV180" s="126">
        <f t="shared" si="280"/>
        <v>0</v>
      </c>
      <c r="BW180" s="123"/>
      <c r="BX180" s="123">
        <f t="shared" si="281"/>
        <v>0</v>
      </c>
      <c r="BY180" s="123"/>
      <c r="BZ180" s="123">
        <f t="shared" si="282"/>
        <v>0</v>
      </c>
      <c r="CA180" s="123"/>
      <c r="CB180" s="123">
        <f t="shared" si="283"/>
        <v>0</v>
      </c>
      <c r="CC180" s="123"/>
      <c r="CD180" s="123">
        <f t="shared" si="284"/>
        <v>0</v>
      </c>
      <c r="CE180" s="123"/>
      <c r="CF180" s="123">
        <f t="shared" si="285"/>
        <v>0</v>
      </c>
      <c r="CG180" s="132"/>
      <c r="CH180" s="123">
        <f t="shared" si="286"/>
        <v>0</v>
      </c>
      <c r="CI180" s="123"/>
      <c r="CJ180" s="127">
        <f t="shared" si="287"/>
        <v>0</v>
      </c>
      <c r="CK180" s="123"/>
      <c r="CL180" s="123">
        <f t="shared" si="288"/>
        <v>0</v>
      </c>
      <c r="CM180" s="130"/>
      <c r="CN180" s="123">
        <f t="shared" si="289"/>
        <v>0</v>
      </c>
      <c r="CO180" s="123"/>
      <c r="CP180" s="123">
        <f t="shared" si="290"/>
        <v>0</v>
      </c>
      <c r="CQ180" s="123"/>
      <c r="CR180" s="123">
        <f t="shared" si="291"/>
        <v>0</v>
      </c>
      <c r="CS180" s="123"/>
      <c r="CT180" s="133">
        <f t="shared" si="292"/>
        <v>0</v>
      </c>
      <c r="CU180" s="127"/>
      <c r="CV180" s="123">
        <f t="shared" si="293"/>
        <v>0</v>
      </c>
      <c r="CW180" s="126">
        <f t="shared" si="294"/>
        <v>52</v>
      </c>
      <c r="CX180" s="126">
        <f t="shared" si="294"/>
        <v>7476871.4538000003</v>
      </c>
    </row>
    <row r="181" spans="1:102" ht="45" customHeight="1" x14ac:dyDescent="0.25">
      <c r="A181" s="91"/>
      <c r="B181" s="116">
        <v>149</v>
      </c>
      <c r="C181" s="117" t="s">
        <v>451</v>
      </c>
      <c r="D181" s="161" t="s">
        <v>452</v>
      </c>
      <c r="E181" s="95">
        <v>28004</v>
      </c>
      <c r="F181" s="96">
        <v>29405</v>
      </c>
      <c r="G181" s="119">
        <v>2.79</v>
      </c>
      <c r="H181" s="107">
        <v>1</v>
      </c>
      <c r="I181" s="108"/>
      <c r="J181" s="108"/>
      <c r="K181" s="108"/>
      <c r="L181" s="63"/>
      <c r="M181" s="120">
        <v>1.4</v>
      </c>
      <c r="N181" s="120">
        <v>1.68</v>
      </c>
      <c r="O181" s="120">
        <v>2.23</v>
      </c>
      <c r="P181" s="121">
        <v>2.57</v>
      </c>
      <c r="Q181" s="122">
        <v>0</v>
      </c>
      <c r="R181" s="123">
        <f t="shared" si="254"/>
        <v>0</v>
      </c>
      <c r="S181" s="124"/>
      <c r="T181" s="125">
        <f t="shared" si="255"/>
        <v>0</v>
      </c>
      <c r="U181" s="123"/>
      <c r="V181" s="123">
        <f t="shared" si="256"/>
        <v>0</v>
      </c>
      <c r="W181" s="123"/>
      <c r="X181" s="126">
        <f t="shared" si="257"/>
        <v>0</v>
      </c>
      <c r="Y181" s="123">
        <f>310-110</f>
        <v>200</v>
      </c>
      <c r="Z181" s="123">
        <f t="shared" si="258"/>
        <v>30564300.270000003</v>
      </c>
      <c r="AA181" s="123"/>
      <c r="AB181" s="123">
        <f t="shared" si="259"/>
        <v>0</v>
      </c>
      <c r="AC181" s="123"/>
      <c r="AD181" s="123"/>
      <c r="AE181" s="123"/>
      <c r="AF181" s="123">
        <f t="shared" si="260"/>
        <v>0</v>
      </c>
      <c r="AG181" s="123">
        <v>0</v>
      </c>
      <c r="AH181" s="126">
        <f t="shared" si="261"/>
        <v>0</v>
      </c>
      <c r="AI181" s="123"/>
      <c r="AJ181" s="123">
        <f t="shared" si="262"/>
        <v>0</v>
      </c>
      <c r="AK181" s="123"/>
      <c r="AL181" s="123">
        <f t="shared" si="263"/>
        <v>0</v>
      </c>
      <c r="AM181" s="212">
        <v>120</v>
      </c>
      <c r="AN181" s="123">
        <f t="shared" si="264"/>
        <v>22006296.194399998</v>
      </c>
      <c r="AO181" s="130"/>
      <c r="AP181" s="127">
        <f t="shared" si="265"/>
        <v>0</v>
      </c>
      <c r="AQ181" s="127">
        <v>0</v>
      </c>
      <c r="AR181" s="127">
        <v>0</v>
      </c>
      <c r="AS181" s="123"/>
      <c r="AT181" s="123">
        <f t="shared" si="266"/>
        <v>0</v>
      </c>
      <c r="AU181" s="123"/>
      <c r="AV181" s="126">
        <f t="shared" si="267"/>
        <v>0</v>
      </c>
      <c r="AW181" s="123"/>
      <c r="AX181" s="123">
        <f t="shared" si="268"/>
        <v>0</v>
      </c>
      <c r="AY181" s="123">
        <v>0</v>
      </c>
      <c r="AZ181" s="123">
        <f t="shared" si="269"/>
        <v>0</v>
      </c>
      <c r="BA181" s="123"/>
      <c r="BB181" s="123">
        <f t="shared" si="270"/>
        <v>0</v>
      </c>
      <c r="BC181" s="123"/>
      <c r="BD181" s="126">
        <f t="shared" si="271"/>
        <v>0</v>
      </c>
      <c r="BE181" s="123"/>
      <c r="BF181" s="123">
        <f t="shared" si="272"/>
        <v>0</v>
      </c>
      <c r="BG181" s="123"/>
      <c r="BH181" s="123">
        <f t="shared" si="273"/>
        <v>0</v>
      </c>
      <c r="BI181" s="123"/>
      <c r="BJ181" s="126">
        <f t="shared" si="274"/>
        <v>0</v>
      </c>
      <c r="BK181" s="123"/>
      <c r="BL181" s="127">
        <f t="shared" si="275"/>
        <v>0</v>
      </c>
      <c r="BM181" s="123"/>
      <c r="BN181" s="123">
        <f t="shared" si="276"/>
        <v>0</v>
      </c>
      <c r="BO181" s="123"/>
      <c r="BP181" s="123">
        <f t="shared" si="277"/>
        <v>0</v>
      </c>
      <c r="BQ181" s="123"/>
      <c r="BR181" s="123">
        <f t="shared" si="278"/>
        <v>0</v>
      </c>
      <c r="BS181" s="123"/>
      <c r="BT181" s="123">
        <f t="shared" si="279"/>
        <v>0</v>
      </c>
      <c r="BU181" s="123"/>
      <c r="BV181" s="126">
        <f t="shared" si="280"/>
        <v>0</v>
      </c>
      <c r="BW181" s="123"/>
      <c r="BX181" s="123">
        <f t="shared" si="281"/>
        <v>0</v>
      </c>
      <c r="BY181" s="123"/>
      <c r="BZ181" s="123">
        <f t="shared" si="282"/>
        <v>0</v>
      </c>
      <c r="CA181" s="123"/>
      <c r="CB181" s="123">
        <f t="shared" si="283"/>
        <v>0</v>
      </c>
      <c r="CC181" s="123"/>
      <c r="CD181" s="123">
        <f t="shared" si="284"/>
        <v>0</v>
      </c>
      <c r="CE181" s="123"/>
      <c r="CF181" s="123">
        <f t="shared" si="285"/>
        <v>0</v>
      </c>
      <c r="CG181" s="132"/>
      <c r="CH181" s="123">
        <f t="shared" si="286"/>
        <v>0</v>
      </c>
      <c r="CI181" s="123"/>
      <c r="CJ181" s="127">
        <f t="shared" si="287"/>
        <v>0</v>
      </c>
      <c r="CK181" s="123"/>
      <c r="CL181" s="123">
        <f t="shared" si="288"/>
        <v>0</v>
      </c>
      <c r="CM181" s="130"/>
      <c r="CN181" s="123">
        <f t="shared" si="289"/>
        <v>0</v>
      </c>
      <c r="CO181" s="123"/>
      <c r="CP181" s="123">
        <f t="shared" si="290"/>
        <v>0</v>
      </c>
      <c r="CQ181" s="123"/>
      <c r="CR181" s="123">
        <f t="shared" si="291"/>
        <v>0</v>
      </c>
      <c r="CS181" s="123"/>
      <c r="CT181" s="133">
        <f t="shared" si="292"/>
        <v>0</v>
      </c>
      <c r="CU181" s="127"/>
      <c r="CV181" s="123">
        <f t="shared" si="293"/>
        <v>0</v>
      </c>
      <c r="CW181" s="126">
        <f t="shared" si="294"/>
        <v>320</v>
      </c>
      <c r="CX181" s="126">
        <f t="shared" si="294"/>
        <v>52570596.464400001</v>
      </c>
    </row>
    <row r="182" spans="1:102" ht="45" customHeight="1" x14ac:dyDescent="0.25">
      <c r="A182" s="91"/>
      <c r="B182" s="116">
        <v>150</v>
      </c>
      <c r="C182" s="117" t="s">
        <v>453</v>
      </c>
      <c r="D182" s="161" t="s">
        <v>454</v>
      </c>
      <c r="E182" s="95">
        <v>28004</v>
      </c>
      <c r="F182" s="96">
        <v>29405</v>
      </c>
      <c r="G182" s="119">
        <v>3.95</v>
      </c>
      <c r="H182" s="107">
        <v>1</v>
      </c>
      <c r="I182" s="108"/>
      <c r="J182" s="108"/>
      <c r="K182" s="108"/>
      <c r="L182" s="63"/>
      <c r="M182" s="120">
        <v>1.4</v>
      </c>
      <c r="N182" s="120">
        <v>1.68</v>
      </c>
      <c r="O182" s="120">
        <v>2.23</v>
      </c>
      <c r="P182" s="121">
        <v>2.57</v>
      </c>
      <c r="Q182" s="122">
        <v>0</v>
      </c>
      <c r="R182" s="123">
        <f t="shared" si="254"/>
        <v>0</v>
      </c>
      <c r="S182" s="124"/>
      <c r="T182" s="125">
        <f t="shared" si="255"/>
        <v>0</v>
      </c>
      <c r="U182" s="123"/>
      <c r="V182" s="123">
        <f t="shared" si="256"/>
        <v>0</v>
      </c>
      <c r="W182" s="123"/>
      <c r="X182" s="126">
        <f t="shared" si="257"/>
        <v>0</v>
      </c>
      <c r="Y182" s="123">
        <f>11+9</f>
        <v>20</v>
      </c>
      <c r="Z182" s="123">
        <f t="shared" si="258"/>
        <v>4327203.8016666668</v>
      </c>
      <c r="AA182" s="123"/>
      <c r="AB182" s="123">
        <f t="shared" si="259"/>
        <v>0</v>
      </c>
      <c r="AC182" s="123"/>
      <c r="AD182" s="123"/>
      <c r="AE182" s="123"/>
      <c r="AF182" s="123">
        <f t="shared" si="260"/>
        <v>0</v>
      </c>
      <c r="AG182" s="123">
        <v>0</v>
      </c>
      <c r="AH182" s="126">
        <f t="shared" si="261"/>
        <v>0</v>
      </c>
      <c r="AI182" s="123"/>
      <c r="AJ182" s="123">
        <f t="shared" si="262"/>
        <v>0</v>
      </c>
      <c r="AK182" s="123"/>
      <c r="AL182" s="123">
        <f t="shared" si="263"/>
        <v>0</v>
      </c>
      <c r="AM182" s="132">
        <v>2</v>
      </c>
      <c r="AN182" s="123">
        <f t="shared" si="264"/>
        <v>519264.45620000002</v>
      </c>
      <c r="AO182" s="130"/>
      <c r="AP182" s="127">
        <f t="shared" si="265"/>
        <v>0</v>
      </c>
      <c r="AQ182" s="127">
        <v>0</v>
      </c>
      <c r="AR182" s="127">
        <v>0</v>
      </c>
      <c r="AS182" s="123"/>
      <c r="AT182" s="123">
        <f t="shared" si="266"/>
        <v>0</v>
      </c>
      <c r="AU182" s="123"/>
      <c r="AV182" s="126">
        <f t="shared" si="267"/>
        <v>0</v>
      </c>
      <c r="AW182" s="123"/>
      <c r="AX182" s="123">
        <f t="shared" si="268"/>
        <v>0</v>
      </c>
      <c r="AY182" s="123">
        <v>0</v>
      </c>
      <c r="AZ182" s="123">
        <f t="shared" si="269"/>
        <v>0</v>
      </c>
      <c r="BA182" s="123"/>
      <c r="BB182" s="123">
        <f t="shared" si="270"/>
        <v>0</v>
      </c>
      <c r="BC182" s="123"/>
      <c r="BD182" s="126">
        <f t="shared" si="271"/>
        <v>0</v>
      </c>
      <c r="BE182" s="123"/>
      <c r="BF182" s="123">
        <f t="shared" si="272"/>
        <v>0</v>
      </c>
      <c r="BG182" s="123"/>
      <c r="BH182" s="123">
        <f t="shared" si="273"/>
        <v>0</v>
      </c>
      <c r="BI182" s="123"/>
      <c r="BJ182" s="126">
        <f t="shared" si="274"/>
        <v>0</v>
      </c>
      <c r="BK182" s="123"/>
      <c r="BL182" s="127">
        <f t="shared" si="275"/>
        <v>0</v>
      </c>
      <c r="BM182" s="123"/>
      <c r="BN182" s="123">
        <f t="shared" si="276"/>
        <v>0</v>
      </c>
      <c r="BO182" s="123"/>
      <c r="BP182" s="123">
        <f t="shared" si="277"/>
        <v>0</v>
      </c>
      <c r="BQ182" s="123"/>
      <c r="BR182" s="123">
        <f t="shared" si="278"/>
        <v>0</v>
      </c>
      <c r="BS182" s="123"/>
      <c r="BT182" s="123">
        <f t="shared" si="279"/>
        <v>0</v>
      </c>
      <c r="BU182" s="123"/>
      <c r="BV182" s="126">
        <f t="shared" si="280"/>
        <v>0</v>
      </c>
      <c r="BW182" s="123"/>
      <c r="BX182" s="123">
        <f t="shared" si="281"/>
        <v>0</v>
      </c>
      <c r="BY182" s="123"/>
      <c r="BZ182" s="123">
        <f t="shared" si="282"/>
        <v>0</v>
      </c>
      <c r="CA182" s="123"/>
      <c r="CB182" s="123">
        <f t="shared" si="283"/>
        <v>0</v>
      </c>
      <c r="CC182" s="123"/>
      <c r="CD182" s="123">
        <f t="shared" si="284"/>
        <v>0</v>
      </c>
      <c r="CE182" s="123"/>
      <c r="CF182" s="123">
        <f t="shared" si="285"/>
        <v>0</v>
      </c>
      <c r="CG182" s="132"/>
      <c r="CH182" s="123">
        <f t="shared" si="286"/>
        <v>0</v>
      </c>
      <c r="CI182" s="123"/>
      <c r="CJ182" s="127">
        <f t="shared" si="287"/>
        <v>0</v>
      </c>
      <c r="CK182" s="123"/>
      <c r="CL182" s="123">
        <f t="shared" si="288"/>
        <v>0</v>
      </c>
      <c r="CM182" s="130"/>
      <c r="CN182" s="123">
        <f t="shared" si="289"/>
        <v>0</v>
      </c>
      <c r="CO182" s="123"/>
      <c r="CP182" s="123">
        <f t="shared" si="290"/>
        <v>0</v>
      </c>
      <c r="CQ182" s="123"/>
      <c r="CR182" s="123">
        <f t="shared" si="291"/>
        <v>0</v>
      </c>
      <c r="CS182" s="123"/>
      <c r="CT182" s="133">
        <f t="shared" si="292"/>
        <v>0</v>
      </c>
      <c r="CU182" s="127"/>
      <c r="CV182" s="123">
        <f t="shared" si="293"/>
        <v>0</v>
      </c>
      <c r="CW182" s="126">
        <f t="shared" si="294"/>
        <v>22</v>
      </c>
      <c r="CX182" s="126">
        <f t="shared" si="294"/>
        <v>4846468.2578666667</v>
      </c>
    </row>
    <row r="183" spans="1:102" ht="60" x14ac:dyDescent="0.25">
      <c r="A183" s="91"/>
      <c r="B183" s="116">
        <v>151</v>
      </c>
      <c r="C183" s="117" t="s">
        <v>455</v>
      </c>
      <c r="D183" s="161" t="s">
        <v>456</v>
      </c>
      <c r="E183" s="95">
        <v>28004</v>
      </c>
      <c r="F183" s="96">
        <v>29405</v>
      </c>
      <c r="G183" s="119">
        <v>2.38</v>
      </c>
      <c r="H183" s="107">
        <v>1</v>
      </c>
      <c r="I183" s="108"/>
      <c r="J183" s="108"/>
      <c r="K183" s="108"/>
      <c r="L183" s="63"/>
      <c r="M183" s="120">
        <v>1.4</v>
      </c>
      <c r="N183" s="120">
        <v>1.68</v>
      </c>
      <c r="O183" s="120">
        <v>2.23</v>
      </c>
      <c r="P183" s="121">
        <v>2.57</v>
      </c>
      <c r="Q183" s="122">
        <v>2</v>
      </c>
      <c r="R183" s="123">
        <f t="shared" si="254"/>
        <v>213838.76359999998</v>
      </c>
      <c r="S183" s="124"/>
      <c r="T183" s="125">
        <f t="shared" si="255"/>
        <v>0</v>
      </c>
      <c r="U183" s="123"/>
      <c r="V183" s="123">
        <f t="shared" si="256"/>
        <v>0</v>
      </c>
      <c r="W183" s="123"/>
      <c r="X183" s="126">
        <f t="shared" si="257"/>
        <v>0</v>
      </c>
      <c r="Y183" s="123"/>
      <c r="Z183" s="123">
        <f t="shared" si="258"/>
        <v>0</v>
      </c>
      <c r="AA183" s="123"/>
      <c r="AB183" s="123">
        <f t="shared" si="259"/>
        <v>0</v>
      </c>
      <c r="AC183" s="200"/>
      <c r="AD183" s="123"/>
      <c r="AE183" s="123"/>
      <c r="AF183" s="127">
        <f t="shared" si="260"/>
        <v>0</v>
      </c>
      <c r="AG183" s="123">
        <v>4</v>
      </c>
      <c r="AH183" s="126">
        <f t="shared" si="261"/>
        <v>427677.52719999995</v>
      </c>
      <c r="AI183" s="130"/>
      <c r="AJ183" s="123">
        <f t="shared" si="262"/>
        <v>0</v>
      </c>
      <c r="AK183" s="123"/>
      <c r="AL183" s="123">
        <f t="shared" si="263"/>
        <v>0</v>
      </c>
      <c r="AM183" s="132">
        <v>2</v>
      </c>
      <c r="AN183" s="123">
        <f t="shared" si="264"/>
        <v>312873.26727999991</v>
      </c>
      <c r="AO183" s="211"/>
      <c r="AP183" s="127">
        <f t="shared" si="265"/>
        <v>0</v>
      </c>
      <c r="AQ183" s="127">
        <v>0</v>
      </c>
      <c r="AR183" s="127">
        <v>0</v>
      </c>
      <c r="AS183" s="123"/>
      <c r="AT183" s="123">
        <f t="shared" si="266"/>
        <v>0</v>
      </c>
      <c r="AU183" s="200"/>
      <c r="AV183" s="126">
        <f t="shared" si="267"/>
        <v>0</v>
      </c>
      <c r="AW183" s="200"/>
      <c r="AX183" s="123">
        <f t="shared" si="268"/>
        <v>0</v>
      </c>
      <c r="AY183" s="123">
        <v>0</v>
      </c>
      <c r="AZ183" s="123">
        <f t="shared" si="269"/>
        <v>0</v>
      </c>
      <c r="BA183" s="200"/>
      <c r="BB183" s="123">
        <f t="shared" si="270"/>
        <v>0</v>
      </c>
      <c r="BC183" s="200"/>
      <c r="BD183" s="126">
        <f t="shared" si="271"/>
        <v>0</v>
      </c>
      <c r="BE183" s="200"/>
      <c r="BF183" s="123">
        <f t="shared" si="272"/>
        <v>0</v>
      </c>
      <c r="BG183" s="200"/>
      <c r="BH183" s="123">
        <f t="shared" si="273"/>
        <v>0</v>
      </c>
      <c r="BI183" s="200"/>
      <c r="BJ183" s="126">
        <f t="shared" si="274"/>
        <v>0</v>
      </c>
      <c r="BK183" s="123"/>
      <c r="BL183" s="127">
        <f t="shared" si="275"/>
        <v>0</v>
      </c>
      <c r="BM183" s="200"/>
      <c r="BN183" s="123">
        <f t="shared" si="276"/>
        <v>0</v>
      </c>
      <c r="BO183" s="200"/>
      <c r="BP183" s="123">
        <f t="shared" si="277"/>
        <v>0</v>
      </c>
      <c r="BQ183" s="200"/>
      <c r="BR183" s="123">
        <f t="shared" si="278"/>
        <v>0</v>
      </c>
      <c r="BS183" s="200"/>
      <c r="BT183" s="123">
        <f t="shared" si="279"/>
        <v>0</v>
      </c>
      <c r="BU183" s="200"/>
      <c r="BV183" s="126">
        <f t="shared" si="280"/>
        <v>0</v>
      </c>
      <c r="BW183" s="200"/>
      <c r="BX183" s="123">
        <f t="shared" si="281"/>
        <v>0</v>
      </c>
      <c r="BY183" s="200"/>
      <c r="BZ183" s="123">
        <f t="shared" si="282"/>
        <v>0</v>
      </c>
      <c r="CA183" s="200"/>
      <c r="CB183" s="123">
        <f t="shared" si="283"/>
        <v>0</v>
      </c>
      <c r="CC183" s="200"/>
      <c r="CD183" s="123">
        <f t="shared" si="284"/>
        <v>0</v>
      </c>
      <c r="CE183" s="200"/>
      <c r="CF183" s="123">
        <f t="shared" si="285"/>
        <v>0</v>
      </c>
      <c r="CG183" s="132"/>
      <c r="CH183" s="123">
        <f t="shared" si="286"/>
        <v>0</v>
      </c>
      <c r="CI183" s="200"/>
      <c r="CJ183" s="127">
        <f t="shared" si="287"/>
        <v>0</v>
      </c>
      <c r="CK183" s="200"/>
      <c r="CL183" s="123">
        <f t="shared" si="288"/>
        <v>0</v>
      </c>
      <c r="CM183" s="211"/>
      <c r="CN183" s="123">
        <f t="shared" si="289"/>
        <v>0</v>
      </c>
      <c r="CO183" s="200"/>
      <c r="CP183" s="123">
        <f t="shared" si="290"/>
        <v>0</v>
      </c>
      <c r="CQ183" s="200"/>
      <c r="CR183" s="123">
        <f t="shared" si="291"/>
        <v>0</v>
      </c>
      <c r="CS183" s="200"/>
      <c r="CT183" s="133">
        <f t="shared" si="292"/>
        <v>0</v>
      </c>
      <c r="CU183" s="127"/>
      <c r="CV183" s="123">
        <f t="shared" si="293"/>
        <v>0</v>
      </c>
      <c r="CW183" s="126">
        <f t="shared" si="294"/>
        <v>8</v>
      </c>
      <c r="CX183" s="126">
        <f t="shared" si="294"/>
        <v>954389.55807999987</v>
      </c>
    </row>
    <row r="184" spans="1:102" ht="45" customHeight="1" x14ac:dyDescent="0.25">
      <c r="A184" s="91"/>
      <c r="B184" s="116">
        <v>152</v>
      </c>
      <c r="C184" s="117" t="s">
        <v>457</v>
      </c>
      <c r="D184" s="161" t="s">
        <v>458</v>
      </c>
      <c r="E184" s="95">
        <v>28004</v>
      </c>
      <c r="F184" s="96">
        <v>29405</v>
      </c>
      <c r="G184" s="119">
        <v>4.4400000000000004</v>
      </c>
      <c r="H184" s="107">
        <v>1</v>
      </c>
      <c r="I184" s="108"/>
      <c r="J184" s="108"/>
      <c r="K184" s="108"/>
      <c r="L184" s="63"/>
      <c r="M184" s="120">
        <v>1.4</v>
      </c>
      <c r="N184" s="120">
        <v>1.68</v>
      </c>
      <c r="O184" s="120">
        <v>2.23</v>
      </c>
      <c r="P184" s="121">
        <v>2.57</v>
      </c>
      <c r="Q184" s="122">
        <v>9</v>
      </c>
      <c r="R184" s="123">
        <f t="shared" si="254"/>
        <v>1795167.4356000002</v>
      </c>
      <c r="S184" s="124">
        <v>8</v>
      </c>
      <c r="T184" s="125">
        <f t="shared" si="255"/>
        <v>1595704.3872</v>
      </c>
      <c r="U184" s="123"/>
      <c r="V184" s="123">
        <f t="shared" si="256"/>
        <v>0</v>
      </c>
      <c r="W184" s="123"/>
      <c r="X184" s="126">
        <f t="shared" si="257"/>
        <v>0</v>
      </c>
      <c r="Y184" s="123">
        <v>9</v>
      </c>
      <c r="Z184" s="123">
        <f t="shared" si="258"/>
        <v>2188798.2774</v>
      </c>
      <c r="AA184" s="123"/>
      <c r="AB184" s="123">
        <f t="shared" si="259"/>
        <v>0</v>
      </c>
      <c r="AC184" s="200"/>
      <c r="AD184" s="123"/>
      <c r="AE184" s="123">
        <v>25</v>
      </c>
      <c r="AF184" s="127">
        <f t="shared" si="260"/>
        <v>4986576.2100000009</v>
      </c>
      <c r="AG184" s="123">
        <v>20</v>
      </c>
      <c r="AH184" s="126">
        <f t="shared" si="261"/>
        <v>3989260.9680000008</v>
      </c>
      <c r="AI184" s="130"/>
      <c r="AJ184" s="123">
        <f t="shared" si="262"/>
        <v>0</v>
      </c>
      <c r="AK184" s="123"/>
      <c r="AL184" s="123">
        <f t="shared" si="263"/>
        <v>0</v>
      </c>
      <c r="AM184" s="132">
        <f>6-3</f>
        <v>3</v>
      </c>
      <c r="AN184" s="123">
        <f t="shared" si="264"/>
        <v>875519.31095999992</v>
      </c>
      <c r="AO184" s="211"/>
      <c r="AP184" s="127">
        <f t="shared" si="265"/>
        <v>0</v>
      </c>
      <c r="AQ184" s="127">
        <v>0</v>
      </c>
      <c r="AR184" s="127">
        <v>0</v>
      </c>
      <c r="AS184" s="123"/>
      <c r="AT184" s="123">
        <f t="shared" si="266"/>
        <v>0</v>
      </c>
      <c r="AU184" s="200"/>
      <c r="AV184" s="126">
        <f t="shared" si="267"/>
        <v>0</v>
      </c>
      <c r="AW184" s="200"/>
      <c r="AX184" s="123">
        <f t="shared" si="268"/>
        <v>0</v>
      </c>
      <c r="AY184" s="123">
        <v>0</v>
      </c>
      <c r="AZ184" s="123">
        <f t="shared" si="269"/>
        <v>0</v>
      </c>
      <c r="BA184" s="200"/>
      <c r="BB184" s="123">
        <f t="shared" si="270"/>
        <v>0</v>
      </c>
      <c r="BC184" s="200"/>
      <c r="BD184" s="126">
        <f t="shared" si="271"/>
        <v>0</v>
      </c>
      <c r="BE184" s="200"/>
      <c r="BF184" s="123">
        <f t="shared" si="272"/>
        <v>0</v>
      </c>
      <c r="BG184" s="200"/>
      <c r="BH184" s="123">
        <f t="shared" si="273"/>
        <v>0</v>
      </c>
      <c r="BI184" s="200"/>
      <c r="BJ184" s="126">
        <f t="shared" si="274"/>
        <v>0</v>
      </c>
      <c r="BK184" s="123"/>
      <c r="BL184" s="127">
        <f t="shared" si="275"/>
        <v>0</v>
      </c>
      <c r="BM184" s="200"/>
      <c r="BN184" s="123">
        <f t="shared" si="276"/>
        <v>0</v>
      </c>
      <c r="BO184" s="200"/>
      <c r="BP184" s="123">
        <f t="shared" si="277"/>
        <v>0</v>
      </c>
      <c r="BQ184" s="200"/>
      <c r="BR184" s="123">
        <f t="shared" si="278"/>
        <v>0</v>
      </c>
      <c r="BS184" s="200"/>
      <c r="BT184" s="123">
        <f t="shared" si="279"/>
        <v>0</v>
      </c>
      <c r="BU184" s="200"/>
      <c r="BV184" s="126">
        <f t="shared" si="280"/>
        <v>0</v>
      </c>
      <c r="BW184" s="200"/>
      <c r="BX184" s="123">
        <f t="shared" si="281"/>
        <v>0</v>
      </c>
      <c r="BY184" s="200"/>
      <c r="BZ184" s="123">
        <f t="shared" si="282"/>
        <v>0</v>
      </c>
      <c r="CA184" s="200"/>
      <c r="CB184" s="123">
        <f t="shared" si="283"/>
        <v>0</v>
      </c>
      <c r="CC184" s="200"/>
      <c r="CD184" s="123">
        <f t="shared" si="284"/>
        <v>0</v>
      </c>
      <c r="CE184" s="200"/>
      <c r="CF184" s="123">
        <f t="shared" si="285"/>
        <v>0</v>
      </c>
      <c r="CG184" s="132"/>
      <c r="CH184" s="123">
        <f t="shared" si="286"/>
        <v>0</v>
      </c>
      <c r="CI184" s="200"/>
      <c r="CJ184" s="127">
        <f t="shared" si="287"/>
        <v>0</v>
      </c>
      <c r="CK184" s="200"/>
      <c r="CL184" s="123">
        <f t="shared" si="288"/>
        <v>0</v>
      </c>
      <c r="CM184" s="211"/>
      <c r="CN184" s="123">
        <f t="shared" si="289"/>
        <v>0</v>
      </c>
      <c r="CO184" s="200"/>
      <c r="CP184" s="123">
        <f t="shared" si="290"/>
        <v>0</v>
      </c>
      <c r="CQ184" s="200"/>
      <c r="CR184" s="123">
        <f t="shared" si="291"/>
        <v>0</v>
      </c>
      <c r="CS184" s="200"/>
      <c r="CT184" s="133">
        <f t="shared" si="292"/>
        <v>0</v>
      </c>
      <c r="CU184" s="127"/>
      <c r="CV184" s="123">
        <f t="shared" si="293"/>
        <v>0</v>
      </c>
      <c r="CW184" s="126">
        <f t="shared" si="294"/>
        <v>74</v>
      </c>
      <c r="CX184" s="126">
        <f t="shared" si="294"/>
        <v>15431026.589160003</v>
      </c>
    </row>
    <row r="185" spans="1:102" ht="45" customHeight="1" x14ac:dyDescent="0.25">
      <c r="A185" s="91"/>
      <c r="B185" s="116">
        <v>153</v>
      </c>
      <c r="C185" s="168" t="s">
        <v>459</v>
      </c>
      <c r="D185" s="161" t="s">
        <v>460</v>
      </c>
      <c r="E185" s="95">
        <v>28004</v>
      </c>
      <c r="F185" s="96">
        <v>29405</v>
      </c>
      <c r="G185" s="119">
        <v>2.17</v>
      </c>
      <c r="H185" s="107">
        <v>1</v>
      </c>
      <c r="I185" s="108"/>
      <c r="J185" s="108"/>
      <c r="K185" s="108"/>
      <c r="L185" s="63"/>
      <c r="M185" s="120">
        <v>1.4</v>
      </c>
      <c r="N185" s="120">
        <v>1.68</v>
      </c>
      <c r="O185" s="120">
        <v>2.23</v>
      </c>
      <c r="P185" s="121">
        <v>2.57</v>
      </c>
      <c r="Q185" s="122"/>
      <c r="R185" s="123">
        <f t="shared" si="254"/>
        <v>0</v>
      </c>
      <c r="S185" s="124"/>
      <c r="T185" s="125">
        <f t="shared" si="255"/>
        <v>0</v>
      </c>
      <c r="U185" s="123"/>
      <c r="V185" s="123">
        <f t="shared" si="256"/>
        <v>0</v>
      </c>
      <c r="W185" s="123"/>
      <c r="X185" s="126">
        <f t="shared" si="257"/>
        <v>0</v>
      </c>
      <c r="Y185" s="123"/>
      <c r="Z185" s="123">
        <f t="shared" si="258"/>
        <v>0</v>
      </c>
      <c r="AA185" s="123"/>
      <c r="AB185" s="123">
        <f t="shared" si="259"/>
        <v>0</v>
      </c>
      <c r="AC185" s="123"/>
      <c r="AD185" s="123"/>
      <c r="AE185" s="123">
        <v>2</v>
      </c>
      <c r="AF185" s="123">
        <f t="shared" si="260"/>
        <v>194970.63739999998</v>
      </c>
      <c r="AG185" s="135">
        <v>0</v>
      </c>
      <c r="AH185" s="136">
        <f t="shared" si="261"/>
        <v>0</v>
      </c>
      <c r="AI185" s="123"/>
      <c r="AJ185" s="123">
        <f t="shared" si="262"/>
        <v>0</v>
      </c>
      <c r="AK185" s="123"/>
      <c r="AL185" s="123">
        <f t="shared" si="263"/>
        <v>0</v>
      </c>
      <c r="AM185" s="129">
        <f>6-1</f>
        <v>5</v>
      </c>
      <c r="AN185" s="123">
        <f t="shared" si="264"/>
        <v>713167.00630000012</v>
      </c>
      <c r="AO185" s="130"/>
      <c r="AP185" s="127">
        <f t="shared" si="265"/>
        <v>0</v>
      </c>
      <c r="AQ185" s="127">
        <v>0</v>
      </c>
      <c r="AR185" s="127">
        <v>0</v>
      </c>
      <c r="AS185" s="123"/>
      <c r="AT185" s="123">
        <f t="shared" si="266"/>
        <v>0</v>
      </c>
      <c r="AU185" s="123"/>
      <c r="AV185" s="126">
        <f t="shared" si="267"/>
        <v>0</v>
      </c>
      <c r="AW185" s="123"/>
      <c r="AX185" s="123">
        <f t="shared" si="268"/>
        <v>0</v>
      </c>
      <c r="AY185" s="131">
        <v>0</v>
      </c>
      <c r="AZ185" s="123">
        <f t="shared" si="269"/>
        <v>0</v>
      </c>
      <c r="BA185" s="123"/>
      <c r="BB185" s="123">
        <f t="shared" si="270"/>
        <v>0</v>
      </c>
      <c r="BC185" s="123"/>
      <c r="BD185" s="126">
        <f t="shared" si="271"/>
        <v>0</v>
      </c>
      <c r="BE185" s="123"/>
      <c r="BF185" s="123">
        <f t="shared" si="272"/>
        <v>0</v>
      </c>
      <c r="BG185" s="123"/>
      <c r="BH185" s="123">
        <f t="shared" si="273"/>
        <v>0</v>
      </c>
      <c r="BI185" s="123"/>
      <c r="BJ185" s="126">
        <f t="shared" si="274"/>
        <v>0</v>
      </c>
      <c r="BK185" s="123"/>
      <c r="BL185" s="127">
        <f t="shared" si="275"/>
        <v>0</v>
      </c>
      <c r="BM185" s="123"/>
      <c r="BN185" s="123">
        <f t="shared" si="276"/>
        <v>0</v>
      </c>
      <c r="BO185" s="123"/>
      <c r="BP185" s="123">
        <f t="shared" si="277"/>
        <v>0</v>
      </c>
      <c r="BQ185" s="123"/>
      <c r="BR185" s="123">
        <f t="shared" si="278"/>
        <v>0</v>
      </c>
      <c r="BS185" s="123"/>
      <c r="BT185" s="123">
        <f t="shared" si="279"/>
        <v>0</v>
      </c>
      <c r="BU185" s="123"/>
      <c r="BV185" s="126">
        <f t="shared" si="280"/>
        <v>0</v>
      </c>
      <c r="BW185" s="123"/>
      <c r="BX185" s="123">
        <f t="shared" si="281"/>
        <v>0</v>
      </c>
      <c r="BY185" s="123"/>
      <c r="BZ185" s="123">
        <f t="shared" si="282"/>
        <v>0</v>
      </c>
      <c r="CA185" s="123"/>
      <c r="CB185" s="123">
        <f t="shared" si="283"/>
        <v>0</v>
      </c>
      <c r="CC185" s="123"/>
      <c r="CD185" s="123">
        <f t="shared" si="284"/>
        <v>0</v>
      </c>
      <c r="CE185" s="123"/>
      <c r="CF185" s="123">
        <f t="shared" si="285"/>
        <v>0</v>
      </c>
      <c r="CG185" s="132"/>
      <c r="CH185" s="123">
        <f t="shared" si="286"/>
        <v>0</v>
      </c>
      <c r="CI185" s="123"/>
      <c r="CJ185" s="127">
        <f t="shared" si="287"/>
        <v>0</v>
      </c>
      <c r="CK185" s="123"/>
      <c r="CL185" s="123">
        <f t="shared" si="288"/>
        <v>0</v>
      </c>
      <c r="CM185" s="130"/>
      <c r="CN185" s="123">
        <f t="shared" si="289"/>
        <v>0</v>
      </c>
      <c r="CO185" s="123"/>
      <c r="CP185" s="123">
        <f t="shared" si="290"/>
        <v>0</v>
      </c>
      <c r="CQ185" s="123"/>
      <c r="CR185" s="123">
        <f t="shared" si="291"/>
        <v>0</v>
      </c>
      <c r="CS185" s="123"/>
      <c r="CT185" s="133">
        <f t="shared" si="292"/>
        <v>0</v>
      </c>
      <c r="CU185" s="127"/>
      <c r="CV185" s="123">
        <f t="shared" si="293"/>
        <v>0</v>
      </c>
      <c r="CW185" s="126">
        <f t="shared" si="294"/>
        <v>7</v>
      </c>
      <c r="CX185" s="126">
        <f t="shared" si="294"/>
        <v>908137.64370000013</v>
      </c>
    </row>
    <row r="186" spans="1:102" ht="45" customHeight="1" x14ac:dyDescent="0.25">
      <c r="A186" s="91"/>
      <c r="B186" s="116">
        <v>154</v>
      </c>
      <c r="C186" s="168" t="s">
        <v>461</v>
      </c>
      <c r="D186" s="161" t="s">
        <v>462</v>
      </c>
      <c r="E186" s="95">
        <v>28004</v>
      </c>
      <c r="F186" s="96">
        <v>29405</v>
      </c>
      <c r="G186" s="119">
        <v>3.43</v>
      </c>
      <c r="H186" s="107">
        <v>1</v>
      </c>
      <c r="I186" s="108"/>
      <c r="J186" s="108"/>
      <c r="K186" s="108"/>
      <c r="L186" s="63"/>
      <c r="M186" s="120">
        <v>1.4</v>
      </c>
      <c r="N186" s="120">
        <v>1.68</v>
      </c>
      <c r="O186" s="120">
        <v>2.23</v>
      </c>
      <c r="P186" s="121">
        <v>2.57</v>
      </c>
      <c r="Q186" s="122">
        <v>13</v>
      </c>
      <c r="R186" s="123">
        <f t="shared" si="254"/>
        <v>2003166.0648999996</v>
      </c>
      <c r="S186" s="124">
        <v>5</v>
      </c>
      <c r="T186" s="125">
        <f t="shared" si="255"/>
        <v>770448.48650000012</v>
      </c>
      <c r="U186" s="123"/>
      <c r="V186" s="123">
        <f t="shared" si="256"/>
        <v>0</v>
      </c>
      <c r="W186" s="123"/>
      <c r="X186" s="126">
        <f t="shared" si="257"/>
        <v>0</v>
      </c>
      <c r="Y186" s="123">
        <v>52</v>
      </c>
      <c r="Z186" s="123">
        <f t="shared" si="258"/>
        <v>9769621.1400666647</v>
      </c>
      <c r="AA186" s="123"/>
      <c r="AB186" s="123">
        <f t="shared" si="259"/>
        <v>0</v>
      </c>
      <c r="AC186" s="123"/>
      <c r="AD186" s="123"/>
      <c r="AE186" s="123">
        <v>7</v>
      </c>
      <c r="AF186" s="127">
        <f t="shared" si="260"/>
        <v>1078627.8811000001</v>
      </c>
      <c r="AG186" s="123">
        <v>5</v>
      </c>
      <c r="AH186" s="126">
        <f t="shared" si="261"/>
        <v>770448.48650000012</v>
      </c>
      <c r="AI186" s="130"/>
      <c r="AJ186" s="123">
        <f t="shared" si="262"/>
        <v>0</v>
      </c>
      <c r="AK186" s="123"/>
      <c r="AL186" s="123">
        <f t="shared" si="263"/>
        <v>0</v>
      </c>
      <c r="AM186" s="132">
        <f>34-4</f>
        <v>30</v>
      </c>
      <c r="AN186" s="123">
        <f t="shared" si="264"/>
        <v>6763583.8662</v>
      </c>
      <c r="AO186" s="130"/>
      <c r="AP186" s="127">
        <f t="shared" si="265"/>
        <v>0</v>
      </c>
      <c r="AQ186" s="127">
        <v>0</v>
      </c>
      <c r="AR186" s="127">
        <v>0</v>
      </c>
      <c r="AS186" s="123"/>
      <c r="AT186" s="123">
        <f t="shared" si="266"/>
        <v>0</v>
      </c>
      <c r="AU186" s="123"/>
      <c r="AV186" s="126">
        <f t="shared" si="267"/>
        <v>0</v>
      </c>
      <c r="AW186" s="123"/>
      <c r="AX186" s="123">
        <f t="shared" si="268"/>
        <v>0</v>
      </c>
      <c r="AY186" s="131"/>
      <c r="AZ186" s="123">
        <f t="shared" si="269"/>
        <v>0</v>
      </c>
      <c r="BA186" s="123"/>
      <c r="BB186" s="123">
        <f t="shared" si="270"/>
        <v>0</v>
      </c>
      <c r="BC186" s="123"/>
      <c r="BD186" s="126">
        <f t="shared" si="271"/>
        <v>0</v>
      </c>
      <c r="BE186" s="123"/>
      <c r="BF186" s="123">
        <f t="shared" si="272"/>
        <v>0</v>
      </c>
      <c r="BG186" s="123"/>
      <c r="BH186" s="123">
        <f t="shared" si="273"/>
        <v>0</v>
      </c>
      <c r="BI186" s="123"/>
      <c r="BJ186" s="126">
        <f t="shared" si="274"/>
        <v>0</v>
      </c>
      <c r="BK186" s="123"/>
      <c r="BL186" s="127">
        <f t="shared" si="275"/>
        <v>0</v>
      </c>
      <c r="BM186" s="123"/>
      <c r="BN186" s="123">
        <f t="shared" si="276"/>
        <v>0</v>
      </c>
      <c r="BO186" s="123"/>
      <c r="BP186" s="123">
        <f t="shared" si="277"/>
        <v>0</v>
      </c>
      <c r="BQ186" s="123"/>
      <c r="BR186" s="123">
        <f t="shared" si="278"/>
        <v>0</v>
      </c>
      <c r="BS186" s="123"/>
      <c r="BT186" s="123">
        <f t="shared" si="279"/>
        <v>0</v>
      </c>
      <c r="BU186" s="123"/>
      <c r="BV186" s="126">
        <f t="shared" si="280"/>
        <v>0</v>
      </c>
      <c r="BW186" s="123"/>
      <c r="BX186" s="123">
        <f t="shared" si="281"/>
        <v>0</v>
      </c>
      <c r="BY186" s="123"/>
      <c r="BZ186" s="123">
        <f t="shared" si="282"/>
        <v>0</v>
      </c>
      <c r="CA186" s="123"/>
      <c r="CB186" s="123">
        <f t="shared" si="283"/>
        <v>0</v>
      </c>
      <c r="CC186" s="123">
        <v>1</v>
      </c>
      <c r="CD186" s="123">
        <f t="shared" si="284"/>
        <v>140081.54299999998</v>
      </c>
      <c r="CE186" s="123"/>
      <c r="CF186" s="123">
        <f t="shared" si="285"/>
        <v>0</v>
      </c>
      <c r="CG186" s="132"/>
      <c r="CH186" s="123">
        <f t="shared" si="286"/>
        <v>0</v>
      </c>
      <c r="CI186" s="123"/>
      <c r="CJ186" s="127">
        <f t="shared" si="287"/>
        <v>0</v>
      </c>
      <c r="CK186" s="123"/>
      <c r="CL186" s="123">
        <f t="shared" si="288"/>
        <v>0</v>
      </c>
      <c r="CM186" s="130"/>
      <c r="CN186" s="123">
        <f t="shared" si="289"/>
        <v>0</v>
      </c>
      <c r="CO186" s="123"/>
      <c r="CP186" s="123">
        <f t="shared" si="290"/>
        <v>0</v>
      </c>
      <c r="CQ186" s="123"/>
      <c r="CR186" s="123">
        <f t="shared" si="291"/>
        <v>0</v>
      </c>
      <c r="CS186" s="123"/>
      <c r="CT186" s="133">
        <f t="shared" si="292"/>
        <v>0</v>
      </c>
      <c r="CU186" s="127"/>
      <c r="CV186" s="123">
        <f t="shared" si="293"/>
        <v>0</v>
      </c>
      <c r="CW186" s="126">
        <f t="shared" si="294"/>
        <v>113</v>
      </c>
      <c r="CX186" s="126">
        <f t="shared" si="294"/>
        <v>21295977.46826667</v>
      </c>
    </row>
    <row r="187" spans="1:102" ht="45" customHeight="1" x14ac:dyDescent="0.25">
      <c r="A187" s="91"/>
      <c r="B187" s="116">
        <v>155</v>
      </c>
      <c r="C187" s="168" t="s">
        <v>463</v>
      </c>
      <c r="D187" s="161" t="s">
        <v>464</v>
      </c>
      <c r="E187" s="95">
        <v>28004</v>
      </c>
      <c r="F187" s="96">
        <v>29405</v>
      </c>
      <c r="G187" s="119">
        <v>4.2699999999999996</v>
      </c>
      <c r="H187" s="107">
        <v>1</v>
      </c>
      <c r="I187" s="108"/>
      <c r="J187" s="108"/>
      <c r="K187" s="108"/>
      <c r="L187" s="63"/>
      <c r="M187" s="120">
        <v>1.4</v>
      </c>
      <c r="N187" s="120">
        <v>1.68</v>
      </c>
      <c r="O187" s="120">
        <v>2.23</v>
      </c>
      <c r="P187" s="121">
        <v>2.57</v>
      </c>
      <c r="Q187" s="122">
        <v>0</v>
      </c>
      <c r="R187" s="123">
        <f t="shared" si="254"/>
        <v>0</v>
      </c>
      <c r="S187" s="124">
        <v>0</v>
      </c>
      <c r="T187" s="125">
        <f t="shared" si="255"/>
        <v>0</v>
      </c>
      <c r="U187" s="123"/>
      <c r="V187" s="123">
        <f t="shared" si="256"/>
        <v>0</v>
      </c>
      <c r="W187" s="123"/>
      <c r="X187" s="126">
        <f t="shared" si="257"/>
        <v>0</v>
      </c>
      <c r="Y187" s="123">
        <f>16+4</f>
        <v>20</v>
      </c>
      <c r="Z187" s="123">
        <f t="shared" si="258"/>
        <v>4677762.0843333332</v>
      </c>
      <c r="AA187" s="123"/>
      <c r="AB187" s="123">
        <f t="shared" si="259"/>
        <v>0</v>
      </c>
      <c r="AC187" s="123"/>
      <c r="AD187" s="123"/>
      <c r="AE187" s="123"/>
      <c r="AF187" s="123">
        <f t="shared" si="260"/>
        <v>0</v>
      </c>
      <c r="AG187" s="135">
        <v>0</v>
      </c>
      <c r="AH187" s="136">
        <f t="shared" si="261"/>
        <v>0</v>
      </c>
      <c r="AI187" s="123"/>
      <c r="AJ187" s="123">
        <f t="shared" si="262"/>
        <v>0</v>
      </c>
      <c r="AK187" s="123"/>
      <c r="AL187" s="123">
        <f t="shared" si="263"/>
        <v>0</v>
      </c>
      <c r="AM187" s="132">
        <f>6-3</f>
        <v>3</v>
      </c>
      <c r="AN187" s="123">
        <f t="shared" si="264"/>
        <v>841997.1751799999</v>
      </c>
      <c r="AO187" s="130"/>
      <c r="AP187" s="127">
        <f t="shared" si="265"/>
        <v>0</v>
      </c>
      <c r="AQ187" s="127">
        <v>0</v>
      </c>
      <c r="AR187" s="127">
        <v>0</v>
      </c>
      <c r="AS187" s="123"/>
      <c r="AT187" s="123">
        <f t="shared" si="266"/>
        <v>0</v>
      </c>
      <c r="AU187" s="123"/>
      <c r="AV187" s="126">
        <f t="shared" si="267"/>
        <v>0</v>
      </c>
      <c r="AW187" s="123"/>
      <c r="AX187" s="123">
        <f t="shared" si="268"/>
        <v>0</v>
      </c>
      <c r="AY187" s="131">
        <v>0</v>
      </c>
      <c r="AZ187" s="123">
        <f t="shared" si="269"/>
        <v>0</v>
      </c>
      <c r="BA187" s="123"/>
      <c r="BB187" s="123">
        <f t="shared" si="270"/>
        <v>0</v>
      </c>
      <c r="BC187" s="123"/>
      <c r="BD187" s="126">
        <f t="shared" si="271"/>
        <v>0</v>
      </c>
      <c r="BE187" s="123"/>
      <c r="BF187" s="123">
        <f t="shared" si="272"/>
        <v>0</v>
      </c>
      <c r="BG187" s="123"/>
      <c r="BH187" s="123">
        <f t="shared" si="273"/>
        <v>0</v>
      </c>
      <c r="BI187" s="123"/>
      <c r="BJ187" s="126">
        <f t="shared" si="274"/>
        <v>0</v>
      </c>
      <c r="BK187" s="123"/>
      <c r="BL187" s="127">
        <f t="shared" si="275"/>
        <v>0</v>
      </c>
      <c r="BM187" s="123"/>
      <c r="BN187" s="123">
        <f t="shared" si="276"/>
        <v>0</v>
      </c>
      <c r="BO187" s="123"/>
      <c r="BP187" s="123">
        <f t="shared" si="277"/>
        <v>0</v>
      </c>
      <c r="BQ187" s="123"/>
      <c r="BR187" s="123">
        <f t="shared" si="278"/>
        <v>0</v>
      </c>
      <c r="BS187" s="123"/>
      <c r="BT187" s="123">
        <f t="shared" si="279"/>
        <v>0</v>
      </c>
      <c r="BU187" s="123"/>
      <c r="BV187" s="126">
        <f t="shared" si="280"/>
        <v>0</v>
      </c>
      <c r="BW187" s="123"/>
      <c r="BX187" s="123">
        <f t="shared" si="281"/>
        <v>0</v>
      </c>
      <c r="BY187" s="123"/>
      <c r="BZ187" s="123">
        <f t="shared" si="282"/>
        <v>0</v>
      </c>
      <c r="CA187" s="123"/>
      <c r="CB187" s="123">
        <f t="shared" si="283"/>
        <v>0</v>
      </c>
      <c r="CC187" s="123"/>
      <c r="CD187" s="123">
        <f t="shared" si="284"/>
        <v>0</v>
      </c>
      <c r="CE187" s="123"/>
      <c r="CF187" s="123">
        <f t="shared" si="285"/>
        <v>0</v>
      </c>
      <c r="CG187" s="132"/>
      <c r="CH187" s="123">
        <f t="shared" si="286"/>
        <v>0</v>
      </c>
      <c r="CI187" s="123"/>
      <c r="CJ187" s="127">
        <f t="shared" si="287"/>
        <v>0</v>
      </c>
      <c r="CK187" s="123"/>
      <c r="CL187" s="123">
        <f t="shared" si="288"/>
        <v>0</v>
      </c>
      <c r="CM187" s="130"/>
      <c r="CN187" s="123">
        <f t="shared" si="289"/>
        <v>0</v>
      </c>
      <c r="CO187" s="123"/>
      <c r="CP187" s="123">
        <f t="shared" si="290"/>
        <v>0</v>
      </c>
      <c r="CQ187" s="123"/>
      <c r="CR187" s="123">
        <f t="shared" si="291"/>
        <v>0</v>
      </c>
      <c r="CS187" s="123"/>
      <c r="CT187" s="133">
        <f t="shared" si="292"/>
        <v>0</v>
      </c>
      <c r="CU187" s="127"/>
      <c r="CV187" s="123">
        <f t="shared" si="293"/>
        <v>0</v>
      </c>
      <c r="CW187" s="126">
        <f t="shared" si="294"/>
        <v>23</v>
      </c>
      <c r="CX187" s="126">
        <f t="shared" si="294"/>
        <v>5519759.2595133334</v>
      </c>
    </row>
    <row r="188" spans="1:102" ht="30" customHeight="1" x14ac:dyDescent="0.25">
      <c r="A188" s="91"/>
      <c r="B188" s="116">
        <v>156</v>
      </c>
      <c r="C188" s="168" t="s">
        <v>465</v>
      </c>
      <c r="D188" s="161" t="s">
        <v>466</v>
      </c>
      <c r="E188" s="95">
        <v>28004</v>
      </c>
      <c r="F188" s="96">
        <v>29405</v>
      </c>
      <c r="G188" s="152">
        <v>3.66</v>
      </c>
      <c r="H188" s="107">
        <v>1</v>
      </c>
      <c r="I188" s="108"/>
      <c r="J188" s="108"/>
      <c r="K188" s="108"/>
      <c r="L188" s="63"/>
      <c r="M188" s="120">
        <v>1.4</v>
      </c>
      <c r="N188" s="120">
        <v>1.68</v>
      </c>
      <c r="O188" s="120">
        <v>2.23</v>
      </c>
      <c r="P188" s="121">
        <v>2.57</v>
      </c>
      <c r="Q188" s="122">
        <v>0</v>
      </c>
      <c r="R188" s="123">
        <f t="shared" si="254"/>
        <v>0</v>
      </c>
      <c r="S188" s="124"/>
      <c r="T188" s="125">
        <f t="shared" si="255"/>
        <v>0</v>
      </c>
      <c r="U188" s="123"/>
      <c r="V188" s="123">
        <f t="shared" si="256"/>
        <v>0</v>
      </c>
      <c r="W188" s="123"/>
      <c r="X188" s="126">
        <f t="shared" si="257"/>
        <v>0</v>
      </c>
      <c r="Y188" s="123">
        <f>3+1</f>
        <v>4</v>
      </c>
      <c r="Z188" s="123">
        <f t="shared" si="258"/>
        <v>801902.07159999991</v>
      </c>
      <c r="AA188" s="123"/>
      <c r="AB188" s="123">
        <f t="shared" si="259"/>
        <v>0</v>
      </c>
      <c r="AC188" s="123"/>
      <c r="AD188" s="123"/>
      <c r="AE188" s="123"/>
      <c r="AF188" s="123">
        <f t="shared" si="260"/>
        <v>0</v>
      </c>
      <c r="AG188" s="123">
        <v>0</v>
      </c>
      <c r="AH188" s="126">
        <f t="shared" si="261"/>
        <v>0</v>
      </c>
      <c r="AI188" s="123"/>
      <c r="AJ188" s="123">
        <f t="shared" si="262"/>
        <v>0</v>
      </c>
      <c r="AK188" s="123"/>
      <c r="AL188" s="123">
        <f t="shared" si="263"/>
        <v>0</v>
      </c>
      <c r="AM188" s="132">
        <f>4-2</f>
        <v>2</v>
      </c>
      <c r="AN188" s="123">
        <f t="shared" si="264"/>
        <v>481141.24296</v>
      </c>
      <c r="AO188" s="130"/>
      <c r="AP188" s="127">
        <f t="shared" si="265"/>
        <v>0</v>
      </c>
      <c r="AQ188" s="127">
        <v>0</v>
      </c>
      <c r="AR188" s="127">
        <v>0</v>
      </c>
      <c r="AS188" s="123"/>
      <c r="AT188" s="123">
        <f t="shared" si="266"/>
        <v>0</v>
      </c>
      <c r="AU188" s="123"/>
      <c r="AV188" s="126">
        <f t="shared" si="267"/>
        <v>0</v>
      </c>
      <c r="AW188" s="123"/>
      <c r="AX188" s="123">
        <f t="shared" si="268"/>
        <v>0</v>
      </c>
      <c r="AY188" s="131">
        <v>0</v>
      </c>
      <c r="AZ188" s="123">
        <f t="shared" si="269"/>
        <v>0</v>
      </c>
      <c r="BA188" s="123"/>
      <c r="BB188" s="123">
        <f t="shared" si="270"/>
        <v>0</v>
      </c>
      <c r="BC188" s="123"/>
      <c r="BD188" s="126">
        <f t="shared" si="271"/>
        <v>0</v>
      </c>
      <c r="BE188" s="123"/>
      <c r="BF188" s="123">
        <f t="shared" si="272"/>
        <v>0</v>
      </c>
      <c r="BG188" s="123"/>
      <c r="BH188" s="123">
        <f t="shared" si="273"/>
        <v>0</v>
      </c>
      <c r="BI188" s="123"/>
      <c r="BJ188" s="126">
        <f t="shared" si="274"/>
        <v>0</v>
      </c>
      <c r="BK188" s="123"/>
      <c r="BL188" s="127">
        <f t="shared" si="275"/>
        <v>0</v>
      </c>
      <c r="BM188" s="123"/>
      <c r="BN188" s="123">
        <f t="shared" si="276"/>
        <v>0</v>
      </c>
      <c r="BO188" s="123"/>
      <c r="BP188" s="123">
        <f t="shared" si="277"/>
        <v>0</v>
      </c>
      <c r="BQ188" s="123"/>
      <c r="BR188" s="123">
        <f t="shared" si="278"/>
        <v>0</v>
      </c>
      <c r="BS188" s="123"/>
      <c r="BT188" s="123">
        <f t="shared" si="279"/>
        <v>0</v>
      </c>
      <c r="BU188" s="123"/>
      <c r="BV188" s="126">
        <f t="shared" si="280"/>
        <v>0</v>
      </c>
      <c r="BW188" s="123"/>
      <c r="BX188" s="123">
        <f t="shared" si="281"/>
        <v>0</v>
      </c>
      <c r="BY188" s="123"/>
      <c r="BZ188" s="123">
        <f t="shared" si="282"/>
        <v>0</v>
      </c>
      <c r="CA188" s="123"/>
      <c r="CB188" s="123">
        <f t="shared" si="283"/>
        <v>0</v>
      </c>
      <c r="CC188" s="123"/>
      <c r="CD188" s="123">
        <f t="shared" si="284"/>
        <v>0</v>
      </c>
      <c r="CE188" s="123"/>
      <c r="CF188" s="123">
        <f t="shared" si="285"/>
        <v>0</v>
      </c>
      <c r="CG188" s="132"/>
      <c r="CH188" s="123">
        <f t="shared" si="286"/>
        <v>0</v>
      </c>
      <c r="CI188" s="123"/>
      <c r="CJ188" s="127">
        <f t="shared" si="287"/>
        <v>0</v>
      </c>
      <c r="CK188" s="123"/>
      <c r="CL188" s="123">
        <f t="shared" si="288"/>
        <v>0</v>
      </c>
      <c r="CM188" s="130"/>
      <c r="CN188" s="123">
        <f t="shared" si="289"/>
        <v>0</v>
      </c>
      <c r="CO188" s="123"/>
      <c r="CP188" s="123">
        <f t="shared" si="290"/>
        <v>0</v>
      </c>
      <c r="CQ188" s="123"/>
      <c r="CR188" s="123">
        <f t="shared" si="291"/>
        <v>0</v>
      </c>
      <c r="CS188" s="123"/>
      <c r="CT188" s="133">
        <f t="shared" si="292"/>
        <v>0</v>
      </c>
      <c r="CU188" s="127"/>
      <c r="CV188" s="123">
        <f t="shared" si="293"/>
        <v>0</v>
      </c>
      <c r="CW188" s="126">
        <f t="shared" si="294"/>
        <v>6</v>
      </c>
      <c r="CX188" s="126">
        <f t="shared" si="294"/>
        <v>1283043.3145599999</v>
      </c>
    </row>
    <row r="189" spans="1:102" ht="45" customHeight="1" x14ac:dyDescent="0.25">
      <c r="A189" s="91"/>
      <c r="B189" s="116">
        <v>157</v>
      </c>
      <c r="C189" s="168" t="s">
        <v>467</v>
      </c>
      <c r="D189" s="161" t="s">
        <v>468</v>
      </c>
      <c r="E189" s="95">
        <v>28004</v>
      </c>
      <c r="F189" s="96">
        <v>29405</v>
      </c>
      <c r="G189" s="119">
        <v>2.81</v>
      </c>
      <c r="H189" s="107">
        <v>1</v>
      </c>
      <c r="I189" s="108"/>
      <c r="J189" s="108"/>
      <c r="K189" s="108"/>
      <c r="L189" s="63"/>
      <c r="M189" s="120">
        <v>1.4</v>
      </c>
      <c r="N189" s="120">
        <v>1.68</v>
      </c>
      <c r="O189" s="120">
        <v>2.23</v>
      </c>
      <c r="P189" s="121">
        <v>2.57</v>
      </c>
      <c r="Q189" s="122">
        <v>32</v>
      </c>
      <c r="R189" s="123">
        <f t="shared" si="254"/>
        <v>4039575.9711999996</v>
      </c>
      <c r="S189" s="124"/>
      <c r="T189" s="125">
        <f t="shared" si="255"/>
        <v>0</v>
      </c>
      <c r="U189" s="123"/>
      <c r="V189" s="123">
        <f t="shared" si="256"/>
        <v>0</v>
      </c>
      <c r="W189" s="123"/>
      <c r="X189" s="126">
        <f t="shared" si="257"/>
        <v>0</v>
      </c>
      <c r="Y189" s="123"/>
      <c r="Z189" s="123">
        <f t="shared" si="258"/>
        <v>0</v>
      </c>
      <c r="AA189" s="123"/>
      <c r="AB189" s="123">
        <f t="shared" si="259"/>
        <v>0</v>
      </c>
      <c r="AC189" s="123"/>
      <c r="AD189" s="123"/>
      <c r="AE189" s="123"/>
      <c r="AF189" s="123">
        <f t="shared" si="260"/>
        <v>0</v>
      </c>
      <c r="AG189" s="123">
        <v>0</v>
      </c>
      <c r="AH189" s="126">
        <f t="shared" si="261"/>
        <v>0</v>
      </c>
      <c r="AI189" s="123"/>
      <c r="AJ189" s="123">
        <f t="shared" si="262"/>
        <v>0</v>
      </c>
      <c r="AK189" s="123"/>
      <c r="AL189" s="123">
        <f t="shared" si="263"/>
        <v>0</v>
      </c>
      <c r="AM189" s="129">
        <v>0</v>
      </c>
      <c r="AN189" s="123">
        <f t="shared" si="264"/>
        <v>0</v>
      </c>
      <c r="AO189" s="130"/>
      <c r="AP189" s="127">
        <f t="shared" si="265"/>
        <v>0</v>
      </c>
      <c r="AQ189" s="127">
        <v>0</v>
      </c>
      <c r="AR189" s="127">
        <v>0</v>
      </c>
      <c r="AS189" s="123"/>
      <c r="AT189" s="123">
        <f t="shared" si="266"/>
        <v>0</v>
      </c>
      <c r="AU189" s="123"/>
      <c r="AV189" s="126">
        <f t="shared" si="267"/>
        <v>0</v>
      </c>
      <c r="AW189" s="123"/>
      <c r="AX189" s="123">
        <f t="shared" si="268"/>
        <v>0</v>
      </c>
      <c r="AY189" s="131">
        <v>0</v>
      </c>
      <c r="AZ189" s="123">
        <f t="shared" si="269"/>
        <v>0</v>
      </c>
      <c r="BA189" s="123"/>
      <c r="BB189" s="123">
        <f t="shared" si="270"/>
        <v>0</v>
      </c>
      <c r="BC189" s="123"/>
      <c r="BD189" s="126">
        <f t="shared" si="271"/>
        <v>0</v>
      </c>
      <c r="BE189" s="123"/>
      <c r="BF189" s="123">
        <f t="shared" si="272"/>
        <v>0</v>
      </c>
      <c r="BG189" s="123"/>
      <c r="BH189" s="123">
        <f t="shared" si="273"/>
        <v>0</v>
      </c>
      <c r="BI189" s="123"/>
      <c r="BJ189" s="126">
        <f t="shared" si="274"/>
        <v>0</v>
      </c>
      <c r="BK189" s="123"/>
      <c r="BL189" s="127">
        <f t="shared" si="275"/>
        <v>0</v>
      </c>
      <c r="BM189" s="123"/>
      <c r="BN189" s="123">
        <f t="shared" si="276"/>
        <v>0</v>
      </c>
      <c r="BO189" s="123"/>
      <c r="BP189" s="123">
        <f t="shared" si="277"/>
        <v>0</v>
      </c>
      <c r="BQ189" s="123"/>
      <c r="BR189" s="123">
        <f t="shared" si="278"/>
        <v>0</v>
      </c>
      <c r="BS189" s="123"/>
      <c r="BT189" s="123">
        <f t="shared" si="279"/>
        <v>0</v>
      </c>
      <c r="BU189" s="123"/>
      <c r="BV189" s="126">
        <f t="shared" si="280"/>
        <v>0</v>
      </c>
      <c r="BW189" s="123"/>
      <c r="BX189" s="123">
        <f t="shared" si="281"/>
        <v>0</v>
      </c>
      <c r="BY189" s="123"/>
      <c r="BZ189" s="123">
        <f t="shared" si="282"/>
        <v>0</v>
      </c>
      <c r="CA189" s="123"/>
      <c r="CB189" s="123">
        <f t="shared" si="283"/>
        <v>0</v>
      </c>
      <c r="CC189" s="123"/>
      <c r="CD189" s="123">
        <f t="shared" si="284"/>
        <v>0</v>
      </c>
      <c r="CE189" s="123"/>
      <c r="CF189" s="123">
        <f t="shared" si="285"/>
        <v>0</v>
      </c>
      <c r="CG189" s="132"/>
      <c r="CH189" s="123">
        <f t="shared" si="286"/>
        <v>0</v>
      </c>
      <c r="CI189" s="123"/>
      <c r="CJ189" s="127">
        <f t="shared" si="287"/>
        <v>0</v>
      </c>
      <c r="CK189" s="123"/>
      <c r="CL189" s="123">
        <f t="shared" si="288"/>
        <v>0</v>
      </c>
      <c r="CM189" s="130"/>
      <c r="CN189" s="123">
        <f t="shared" si="289"/>
        <v>0</v>
      </c>
      <c r="CO189" s="123"/>
      <c r="CP189" s="123">
        <f t="shared" si="290"/>
        <v>0</v>
      </c>
      <c r="CQ189" s="123"/>
      <c r="CR189" s="123">
        <f t="shared" si="291"/>
        <v>0</v>
      </c>
      <c r="CS189" s="123"/>
      <c r="CT189" s="133">
        <f t="shared" si="292"/>
        <v>0</v>
      </c>
      <c r="CU189" s="127"/>
      <c r="CV189" s="123">
        <f t="shared" si="293"/>
        <v>0</v>
      </c>
      <c r="CW189" s="126">
        <f t="shared" si="294"/>
        <v>32</v>
      </c>
      <c r="CX189" s="126">
        <f t="shared" si="294"/>
        <v>4039575.9711999996</v>
      </c>
    </row>
    <row r="190" spans="1:102" ht="45" customHeight="1" x14ac:dyDescent="0.25">
      <c r="A190" s="91"/>
      <c r="B190" s="116">
        <v>158</v>
      </c>
      <c r="C190" s="168" t="s">
        <v>469</v>
      </c>
      <c r="D190" s="161" t="s">
        <v>470</v>
      </c>
      <c r="E190" s="95">
        <v>28004</v>
      </c>
      <c r="F190" s="96">
        <v>29405</v>
      </c>
      <c r="G190" s="119">
        <v>3.42</v>
      </c>
      <c r="H190" s="107">
        <v>1</v>
      </c>
      <c r="I190" s="108"/>
      <c r="J190" s="108"/>
      <c r="K190" s="108"/>
      <c r="L190" s="63"/>
      <c r="M190" s="120">
        <v>1.4</v>
      </c>
      <c r="N190" s="120">
        <v>1.68</v>
      </c>
      <c r="O190" s="120">
        <v>2.23</v>
      </c>
      <c r="P190" s="121">
        <v>2.57</v>
      </c>
      <c r="Q190" s="122">
        <v>1</v>
      </c>
      <c r="R190" s="123">
        <f t="shared" si="254"/>
        <v>153640.45619999996</v>
      </c>
      <c r="S190" s="124"/>
      <c r="T190" s="125">
        <f t="shared" si="255"/>
        <v>0</v>
      </c>
      <c r="U190" s="123"/>
      <c r="V190" s="123">
        <f t="shared" si="256"/>
        <v>0</v>
      </c>
      <c r="W190" s="123"/>
      <c r="X190" s="126">
        <f t="shared" si="257"/>
        <v>0</v>
      </c>
      <c r="Y190" s="123">
        <f>20+6</f>
        <v>26</v>
      </c>
      <c r="Z190" s="123">
        <f t="shared" si="258"/>
        <v>4870569.1397999991</v>
      </c>
      <c r="AA190" s="123"/>
      <c r="AB190" s="123">
        <f t="shared" si="259"/>
        <v>0</v>
      </c>
      <c r="AC190" s="123"/>
      <c r="AD190" s="123"/>
      <c r="AE190" s="123"/>
      <c r="AF190" s="123">
        <f t="shared" si="260"/>
        <v>0</v>
      </c>
      <c r="AG190" s="123">
        <v>0</v>
      </c>
      <c r="AH190" s="126">
        <f t="shared" si="261"/>
        <v>0</v>
      </c>
      <c r="AI190" s="123"/>
      <c r="AJ190" s="123">
        <f t="shared" si="262"/>
        <v>0</v>
      </c>
      <c r="AK190" s="123"/>
      <c r="AL190" s="123">
        <f t="shared" si="263"/>
        <v>0</v>
      </c>
      <c r="AM190" s="132"/>
      <c r="AN190" s="123">
        <f t="shared" si="264"/>
        <v>0</v>
      </c>
      <c r="AO190" s="130"/>
      <c r="AP190" s="127">
        <f t="shared" si="265"/>
        <v>0</v>
      </c>
      <c r="AQ190" s="127">
        <v>0</v>
      </c>
      <c r="AR190" s="127">
        <v>0</v>
      </c>
      <c r="AS190" s="123"/>
      <c r="AT190" s="123">
        <f t="shared" si="266"/>
        <v>0</v>
      </c>
      <c r="AU190" s="123"/>
      <c r="AV190" s="126">
        <f t="shared" si="267"/>
        <v>0</v>
      </c>
      <c r="AW190" s="123"/>
      <c r="AX190" s="123">
        <f t="shared" si="268"/>
        <v>0</v>
      </c>
      <c r="AY190" s="131">
        <v>0</v>
      </c>
      <c r="AZ190" s="123">
        <f t="shared" si="269"/>
        <v>0</v>
      </c>
      <c r="BA190" s="123"/>
      <c r="BB190" s="123">
        <f t="shared" si="270"/>
        <v>0</v>
      </c>
      <c r="BC190" s="123"/>
      <c r="BD190" s="126">
        <f t="shared" si="271"/>
        <v>0</v>
      </c>
      <c r="BE190" s="123"/>
      <c r="BF190" s="123">
        <f t="shared" si="272"/>
        <v>0</v>
      </c>
      <c r="BG190" s="123"/>
      <c r="BH190" s="123">
        <f t="shared" si="273"/>
        <v>0</v>
      </c>
      <c r="BI190" s="123"/>
      <c r="BJ190" s="126">
        <f t="shared" si="274"/>
        <v>0</v>
      </c>
      <c r="BK190" s="123"/>
      <c r="BL190" s="127">
        <f t="shared" si="275"/>
        <v>0</v>
      </c>
      <c r="BM190" s="123"/>
      <c r="BN190" s="123">
        <f t="shared" si="276"/>
        <v>0</v>
      </c>
      <c r="BO190" s="123"/>
      <c r="BP190" s="123">
        <f t="shared" si="277"/>
        <v>0</v>
      </c>
      <c r="BQ190" s="123"/>
      <c r="BR190" s="123">
        <f t="shared" si="278"/>
        <v>0</v>
      </c>
      <c r="BS190" s="123"/>
      <c r="BT190" s="123">
        <f t="shared" si="279"/>
        <v>0</v>
      </c>
      <c r="BU190" s="123"/>
      <c r="BV190" s="126">
        <f t="shared" si="280"/>
        <v>0</v>
      </c>
      <c r="BW190" s="123"/>
      <c r="BX190" s="123">
        <f t="shared" si="281"/>
        <v>0</v>
      </c>
      <c r="BY190" s="123"/>
      <c r="BZ190" s="123">
        <f t="shared" si="282"/>
        <v>0</v>
      </c>
      <c r="CA190" s="123"/>
      <c r="CB190" s="123">
        <f t="shared" si="283"/>
        <v>0</v>
      </c>
      <c r="CC190" s="123"/>
      <c r="CD190" s="123">
        <f t="shared" si="284"/>
        <v>0</v>
      </c>
      <c r="CE190" s="123"/>
      <c r="CF190" s="123">
        <f t="shared" si="285"/>
        <v>0</v>
      </c>
      <c r="CG190" s="132"/>
      <c r="CH190" s="123">
        <f t="shared" si="286"/>
        <v>0</v>
      </c>
      <c r="CI190" s="123"/>
      <c r="CJ190" s="127">
        <f t="shared" si="287"/>
        <v>0</v>
      </c>
      <c r="CK190" s="123"/>
      <c r="CL190" s="123">
        <f t="shared" si="288"/>
        <v>0</v>
      </c>
      <c r="CM190" s="130"/>
      <c r="CN190" s="123">
        <f t="shared" si="289"/>
        <v>0</v>
      </c>
      <c r="CO190" s="123"/>
      <c r="CP190" s="123">
        <f t="shared" si="290"/>
        <v>0</v>
      </c>
      <c r="CQ190" s="123"/>
      <c r="CR190" s="123">
        <f t="shared" si="291"/>
        <v>0</v>
      </c>
      <c r="CS190" s="123"/>
      <c r="CT190" s="133">
        <f t="shared" si="292"/>
        <v>0</v>
      </c>
      <c r="CU190" s="127"/>
      <c r="CV190" s="123">
        <f t="shared" si="293"/>
        <v>0</v>
      </c>
      <c r="CW190" s="126">
        <f t="shared" si="294"/>
        <v>27</v>
      </c>
      <c r="CX190" s="126">
        <f t="shared" si="294"/>
        <v>5024209.595999999</v>
      </c>
    </row>
    <row r="191" spans="1:102" ht="45" customHeight="1" x14ac:dyDescent="0.25">
      <c r="A191" s="91"/>
      <c r="B191" s="116">
        <v>159</v>
      </c>
      <c r="C191" s="168" t="s">
        <v>471</v>
      </c>
      <c r="D191" s="161" t="s">
        <v>472</v>
      </c>
      <c r="E191" s="95">
        <v>28004</v>
      </c>
      <c r="F191" s="96">
        <v>29405</v>
      </c>
      <c r="G191" s="119">
        <v>5.31</v>
      </c>
      <c r="H191" s="107">
        <v>1</v>
      </c>
      <c r="I191" s="108"/>
      <c r="J191" s="108"/>
      <c r="K191" s="108"/>
      <c r="L191" s="63"/>
      <c r="M191" s="120">
        <v>1.4</v>
      </c>
      <c r="N191" s="120">
        <v>1.68</v>
      </c>
      <c r="O191" s="120">
        <v>2.23</v>
      </c>
      <c r="P191" s="121">
        <v>2.57</v>
      </c>
      <c r="Q191" s="122">
        <v>1</v>
      </c>
      <c r="R191" s="123">
        <f t="shared" si="254"/>
        <v>238547.02409999995</v>
      </c>
      <c r="S191" s="124"/>
      <c r="T191" s="125">
        <f t="shared" si="255"/>
        <v>0</v>
      </c>
      <c r="U191" s="123"/>
      <c r="V191" s="123">
        <f t="shared" si="256"/>
        <v>0</v>
      </c>
      <c r="W191" s="123"/>
      <c r="X191" s="126">
        <f t="shared" si="257"/>
        <v>0</v>
      </c>
      <c r="Y191" s="123">
        <v>50</v>
      </c>
      <c r="Z191" s="123">
        <f t="shared" si="258"/>
        <v>14542691.2575</v>
      </c>
      <c r="AA191" s="123"/>
      <c r="AB191" s="123">
        <f t="shared" si="259"/>
        <v>0</v>
      </c>
      <c r="AC191" s="123"/>
      <c r="AD191" s="123"/>
      <c r="AE191" s="123"/>
      <c r="AF191" s="123">
        <f t="shared" si="260"/>
        <v>0</v>
      </c>
      <c r="AG191" s="123">
        <v>0</v>
      </c>
      <c r="AH191" s="126">
        <f t="shared" si="261"/>
        <v>0</v>
      </c>
      <c r="AI191" s="123"/>
      <c r="AJ191" s="123">
        <f t="shared" si="262"/>
        <v>0</v>
      </c>
      <c r="AK191" s="123"/>
      <c r="AL191" s="123">
        <f t="shared" si="263"/>
        <v>0</v>
      </c>
      <c r="AM191" s="132">
        <v>10</v>
      </c>
      <c r="AN191" s="123">
        <f t="shared" si="264"/>
        <v>3490245.9017999996</v>
      </c>
      <c r="AO191" s="130"/>
      <c r="AP191" s="127">
        <f t="shared" si="265"/>
        <v>0</v>
      </c>
      <c r="AQ191" s="127">
        <v>0</v>
      </c>
      <c r="AR191" s="127">
        <v>0</v>
      </c>
      <c r="AS191" s="123"/>
      <c r="AT191" s="123">
        <f t="shared" si="266"/>
        <v>0</v>
      </c>
      <c r="AU191" s="123"/>
      <c r="AV191" s="126">
        <f t="shared" si="267"/>
        <v>0</v>
      </c>
      <c r="AW191" s="123"/>
      <c r="AX191" s="123">
        <f t="shared" si="268"/>
        <v>0</v>
      </c>
      <c r="AY191" s="131">
        <v>0</v>
      </c>
      <c r="AZ191" s="123">
        <f t="shared" si="269"/>
        <v>0</v>
      </c>
      <c r="BA191" s="123"/>
      <c r="BB191" s="123">
        <f t="shared" si="270"/>
        <v>0</v>
      </c>
      <c r="BC191" s="123"/>
      <c r="BD191" s="126">
        <f t="shared" si="271"/>
        <v>0</v>
      </c>
      <c r="BE191" s="123"/>
      <c r="BF191" s="123">
        <f t="shared" si="272"/>
        <v>0</v>
      </c>
      <c r="BG191" s="123"/>
      <c r="BH191" s="123">
        <f t="shared" si="273"/>
        <v>0</v>
      </c>
      <c r="BI191" s="123"/>
      <c r="BJ191" s="126">
        <f t="shared" si="274"/>
        <v>0</v>
      </c>
      <c r="BK191" s="123"/>
      <c r="BL191" s="127">
        <f t="shared" si="275"/>
        <v>0</v>
      </c>
      <c r="BM191" s="123"/>
      <c r="BN191" s="123">
        <f t="shared" si="276"/>
        <v>0</v>
      </c>
      <c r="BO191" s="123"/>
      <c r="BP191" s="123">
        <f t="shared" si="277"/>
        <v>0</v>
      </c>
      <c r="BQ191" s="123"/>
      <c r="BR191" s="123">
        <f t="shared" si="278"/>
        <v>0</v>
      </c>
      <c r="BS191" s="123"/>
      <c r="BT191" s="123">
        <f t="shared" si="279"/>
        <v>0</v>
      </c>
      <c r="BU191" s="123"/>
      <c r="BV191" s="126">
        <f t="shared" si="280"/>
        <v>0</v>
      </c>
      <c r="BW191" s="123"/>
      <c r="BX191" s="123">
        <f t="shared" si="281"/>
        <v>0</v>
      </c>
      <c r="BY191" s="123"/>
      <c r="BZ191" s="123">
        <f t="shared" si="282"/>
        <v>0</v>
      </c>
      <c r="CA191" s="123"/>
      <c r="CB191" s="123">
        <f>(CA191/12*2*$E191*$G191*$H191*$M191*$CB$11)+(CA191/12*10*$F191*$G191*$H191*$M191*$CB$11)</f>
        <v>0</v>
      </c>
      <c r="CC191" s="123"/>
      <c r="CD191" s="123">
        <f t="shared" si="284"/>
        <v>0</v>
      </c>
      <c r="CE191" s="123"/>
      <c r="CF191" s="123">
        <f>(CE191/12*10*$F191*$G191*$H191*$N191*$CF$11)</f>
        <v>0</v>
      </c>
      <c r="CG191" s="132"/>
      <c r="CH191" s="123">
        <f t="shared" si="286"/>
        <v>0</v>
      </c>
      <c r="CI191" s="123"/>
      <c r="CJ191" s="127">
        <f t="shared" si="287"/>
        <v>0</v>
      </c>
      <c r="CK191" s="123"/>
      <c r="CL191" s="123">
        <f t="shared" si="288"/>
        <v>0</v>
      </c>
      <c r="CM191" s="130"/>
      <c r="CN191" s="123">
        <f t="shared" si="289"/>
        <v>0</v>
      </c>
      <c r="CO191" s="123"/>
      <c r="CP191" s="123">
        <f t="shared" si="290"/>
        <v>0</v>
      </c>
      <c r="CQ191" s="123"/>
      <c r="CR191" s="123">
        <f t="shared" si="291"/>
        <v>0</v>
      </c>
      <c r="CS191" s="123"/>
      <c r="CT191" s="133">
        <f t="shared" si="292"/>
        <v>0</v>
      </c>
      <c r="CU191" s="127"/>
      <c r="CV191" s="123">
        <f t="shared" si="293"/>
        <v>0</v>
      </c>
      <c r="CW191" s="126">
        <f t="shared" si="294"/>
        <v>61</v>
      </c>
      <c r="CX191" s="126">
        <f t="shared" si="294"/>
        <v>18271484.183400001</v>
      </c>
    </row>
    <row r="192" spans="1:102" ht="45" customHeight="1" x14ac:dyDescent="0.25">
      <c r="A192" s="91"/>
      <c r="B192" s="116">
        <v>160</v>
      </c>
      <c r="C192" s="168" t="s">
        <v>473</v>
      </c>
      <c r="D192" s="161" t="s">
        <v>474</v>
      </c>
      <c r="E192" s="95">
        <v>28004</v>
      </c>
      <c r="F192" s="96">
        <v>29405</v>
      </c>
      <c r="G192" s="119">
        <v>2.86</v>
      </c>
      <c r="H192" s="107">
        <v>1</v>
      </c>
      <c r="I192" s="108"/>
      <c r="J192" s="108"/>
      <c r="K192" s="108"/>
      <c r="L192" s="63"/>
      <c r="M192" s="120">
        <v>1.4</v>
      </c>
      <c r="N192" s="120">
        <v>1.68</v>
      </c>
      <c r="O192" s="120">
        <v>2.23</v>
      </c>
      <c r="P192" s="121">
        <v>2.57</v>
      </c>
      <c r="Q192" s="122">
        <v>0</v>
      </c>
      <c r="R192" s="123">
        <f t="shared" si="254"/>
        <v>0</v>
      </c>
      <c r="S192" s="124"/>
      <c r="T192" s="125">
        <f t="shared" si="255"/>
        <v>0</v>
      </c>
      <c r="U192" s="123">
        <v>1</v>
      </c>
      <c r="V192" s="123">
        <f t="shared" si="256"/>
        <v>156655.73256666664</v>
      </c>
      <c r="W192" s="123"/>
      <c r="X192" s="126">
        <f t="shared" si="257"/>
        <v>0</v>
      </c>
      <c r="Y192" s="123">
        <v>7</v>
      </c>
      <c r="Z192" s="123">
        <f t="shared" si="258"/>
        <v>1096590.1279666666</v>
      </c>
      <c r="AA192" s="123"/>
      <c r="AB192" s="123">
        <f t="shared" si="259"/>
        <v>0</v>
      </c>
      <c r="AC192" s="123"/>
      <c r="AD192" s="123"/>
      <c r="AE192" s="123"/>
      <c r="AF192" s="123">
        <f t="shared" si="260"/>
        <v>0</v>
      </c>
      <c r="AG192" s="123">
        <v>0</v>
      </c>
      <c r="AH192" s="126">
        <f t="shared" si="261"/>
        <v>0</v>
      </c>
      <c r="AI192" s="123"/>
      <c r="AJ192" s="123">
        <f t="shared" si="262"/>
        <v>0</v>
      </c>
      <c r="AK192" s="123"/>
      <c r="AL192" s="123">
        <f t="shared" si="263"/>
        <v>0</v>
      </c>
      <c r="AM192" s="132">
        <f>2+5</f>
        <v>7</v>
      </c>
      <c r="AN192" s="123">
        <f t="shared" si="264"/>
        <v>1315908.15356</v>
      </c>
      <c r="AO192" s="130"/>
      <c r="AP192" s="127">
        <f t="shared" si="265"/>
        <v>0</v>
      </c>
      <c r="AQ192" s="127">
        <v>0</v>
      </c>
      <c r="AR192" s="127">
        <v>0</v>
      </c>
      <c r="AS192" s="123"/>
      <c r="AT192" s="123">
        <f t="shared" si="266"/>
        <v>0</v>
      </c>
      <c r="AU192" s="123"/>
      <c r="AV192" s="126">
        <f t="shared" si="267"/>
        <v>0</v>
      </c>
      <c r="AW192" s="123"/>
      <c r="AX192" s="123">
        <f t="shared" si="268"/>
        <v>0</v>
      </c>
      <c r="AY192" s="131">
        <v>0</v>
      </c>
      <c r="AZ192" s="123">
        <f t="shared" si="269"/>
        <v>0</v>
      </c>
      <c r="BA192" s="123"/>
      <c r="BB192" s="123">
        <f t="shared" si="270"/>
        <v>0</v>
      </c>
      <c r="BC192" s="123"/>
      <c r="BD192" s="126">
        <f t="shared" si="271"/>
        <v>0</v>
      </c>
      <c r="BE192" s="123"/>
      <c r="BF192" s="123">
        <f t="shared" si="272"/>
        <v>0</v>
      </c>
      <c r="BG192" s="123"/>
      <c r="BH192" s="123">
        <f t="shared" si="273"/>
        <v>0</v>
      </c>
      <c r="BI192" s="123"/>
      <c r="BJ192" s="126">
        <f t="shared" si="274"/>
        <v>0</v>
      </c>
      <c r="BK192" s="123"/>
      <c r="BL192" s="127">
        <f t="shared" si="275"/>
        <v>0</v>
      </c>
      <c r="BM192" s="123"/>
      <c r="BN192" s="123">
        <f t="shared" si="276"/>
        <v>0</v>
      </c>
      <c r="BO192" s="123"/>
      <c r="BP192" s="123">
        <f t="shared" si="277"/>
        <v>0</v>
      </c>
      <c r="BQ192" s="123"/>
      <c r="BR192" s="123">
        <f t="shared" si="278"/>
        <v>0</v>
      </c>
      <c r="BS192" s="123"/>
      <c r="BT192" s="123">
        <f t="shared" si="279"/>
        <v>0</v>
      </c>
      <c r="BU192" s="123"/>
      <c r="BV192" s="126">
        <f t="shared" si="280"/>
        <v>0</v>
      </c>
      <c r="BW192" s="123"/>
      <c r="BX192" s="123">
        <f t="shared" si="281"/>
        <v>0</v>
      </c>
      <c r="BY192" s="123"/>
      <c r="BZ192" s="123">
        <f t="shared" si="282"/>
        <v>0</v>
      </c>
      <c r="CA192" s="123"/>
      <c r="CB192" s="123">
        <f t="shared" si="283"/>
        <v>0</v>
      </c>
      <c r="CC192" s="123"/>
      <c r="CD192" s="123">
        <f t="shared" si="284"/>
        <v>0</v>
      </c>
      <c r="CE192" s="123"/>
      <c r="CF192" s="123">
        <f t="shared" si="285"/>
        <v>0</v>
      </c>
      <c r="CG192" s="132"/>
      <c r="CH192" s="123">
        <f t="shared" si="286"/>
        <v>0</v>
      </c>
      <c r="CI192" s="123"/>
      <c r="CJ192" s="127">
        <f t="shared" si="287"/>
        <v>0</v>
      </c>
      <c r="CK192" s="123"/>
      <c r="CL192" s="123">
        <f t="shared" si="288"/>
        <v>0</v>
      </c>
      <c r="CM192" s="130"/>
      <c r="CN192" s="123">
        <f t="shared" si="289"/>
        <v>0</v>
      </c>
      <c r="CO192" s="123"/>
      <c r="CP192" s="123">
        <f t="shared" si="290"/>
        <v>0</v>
      </c>
      <c r="CQ192" s="123"/>
      <c r="CR192" s="123">
        <f t="shared" si="291"/>
        <v>0</v>
      </c>
      <c r="CS192" s="123"/>
      <c r="CT192" s="133">
        <f t="shared" si="292"/>
        <v>0</v>
      </c>
      <c r="CU192" s="127"/>
      <c r="CV192" s="123">
        <f t="shared" si="293"/>
        <v>0</v>
      </c>
      <c r="CW192" s="126">
        <f t="shared" si="294"/>
        <v>15</v>
      </c>
      <c r="CX192" s="126">
        <f t="shared" si="294"/>
        <v>2569154.0140933329</v>
      </c>
    </row>
    <row r="193" spans="1:102" ht="45" customHeight="1" x14ac:dyDescent="0.25">
      <c r="A193" s="91"/>
      <c r="B193" s="116">
        <v>161</v>
      </c>
      <c r="C193" s="117" t="s">
        <v>475</v>
      </c>
      <c r="D193" s="161" t="s">
        <v>476</v>
      </c>
      <c r="E193" s="95">
        <v>28004</v>
      </c>
      <c r="F193" s="96">
        <v>29405</v>
      </c>
      <c r="G193" s="119">
        <v>4.3099999999999996</v>
      </c>
      <c r="H193" s="107">
        <v>1</v>
      </c>
      <c r="I193" s="108"/>
      <c r="J193" s="108"/>
      <c r="K193" s="108"/>
      <c r="L193" s="142"/>
      <c r="M193" s="120">
        <v>1.4</v>
      </c>
      <c r="N193" s="120">
        <v>1.68</v>
      </c>
      <c r="O193" s="120">
        <v>2.23</v>
      </c>
      <c r="P193" s="121">
        <v>2.57</v>
      </c>
      <c r="Q193" s="122">
        <v>10</v>
      </c>
      <c r="R193" s="123">
        <f t="shared" si="254"/>
        <v>1936229.1410000001</v>
      </c>
      <c r="S193" s="124"/>
      <c r="T193" s="125">
        <f t="shared" si="255"/>
        <v>0</v>
      </c>
      <c r="U193" s="123"/>
      <c r="V193" s="123">
        <f t="shared" si="256"/>
        <v>0</v>
      </c>
      <c r="W193" s="123"/>
      <c r="X193" s="126">
        <f t="shared" si="257"/>
        <v>0</v>
      </c>
      <c r="Y193" s="123">
        <v>48</v>
      </c>
      <c r="Z193" s="123">
        <f t="shared" si="258"/>
        <v>11331796.487199999</v>
      </c>
      <c r="AA193" s="123"/>
      <c r="AB193" s="123">
        <f t="shared" si="259"/>
        <v>0</v>
      </c>
      <c r="AC193" s="123"/>
      <c r="AD193" s="123"/>
      <c r="AE193" s="123"/>
      <c r="AF193" s="123">
        <f t="shared" si="260"/>
        <v>0</v>
      </c>
      <c r="AG193" s="123">
        <v>0</v>
      </c>
      <c r="AH193" s="126">
        <f t="shared" si="261"/>
        <v>0</v>
      </c>
      <c r="AI193" s="123"/>
      <c r="AJ193" s="123">
        <f t="shared" si="262"/>
        <v>0</v>
      </c>
      <c r="AK193" s="123"/>
      <c r="AL193" s="123">
        <f t="shared" si="263"/>
        <v>0</v>
      </c>
      <c r="AM193" s="132">
        <f>4-1</f>
        <v>3</v>
      </c>
      <c r="AN193" s="123">
        <f t="shared" si="264"/>
        <v>849884.73653999995</v>
      </c>
      <c r="AO193" s="130"/>
      <c r="AP193" s="127">
        <f t="shared" si="265"/>
        <v>0</v>
      </c>
      <c r="AQ193" s="127">
        <v>0</v>
      </c>
      <c r="AR193" s="127">
        <v>0</v>
      </c>
      <c r="AS193" s="123"/>
      <c r="AT193" s="123">
        <f t="shared" si="266"/>
        <v>0</v>
      </c>
      <c r="AU193" s="123"/>
      <c r="AV193" s="126">
        <f t="shared" si="267"/>
        <v>0</v>
      </c>
      <c r="AW193" s="123"/>
      <c r="AX193" s="123">
        <f t="shared" si="268"/>
        <v>0</v>
      </c>
      <c r="AY193" s="123"/>
      <c r="AZ193" s="123">
        <f t="shared" si="269"/>
        <v>0</v>
      </c>
      <c r="BA193" s="123"/>
      <c r="BB193" s="123">
        <f t="shared" si="270"/>
        <v>0</v>
      </c>
      <c r="BC193" s="123"/>
      <c r="BD193" s="126">
        <f t="shared" si="271"/>
        <v>0</v>
      </c>
      <c r="BE193" s="123"/>
      <c r="BF193" s="123">
        <f t="shared" si="272"/>
        <v>0</v>
      </c>
      <c r="BG193" s="123"/>
      <c r="BH193" s="123">
        <f t="shared" si="273"/>
        <v>0</v>
      </c>
      <c r="BI193" s="123"/>
      <c r="BJ193" s="126">
        <f t="shared" si="274"/>
        <v>0</v>
      </c>
      <c r="BK193" s="123"/>
      <c r="BL193" s="127">
        <f t="shared" si="275"/>
        <v>0</v>
      </c>
      <c r="BM193" s="123"/>
      <c r="BN193" s="123">
        <f t="shared" si="276"/>
        <v>0</v>
      </c>
      <c r="BO193" s="123"/>
      <c r="BP193" s="123">
        <f t="shared" si="277"/>
        <v>0</v>
      </c>
      <c r="BQ193" s="123"/>
      <c r="BR193" s="123">
        <f t="shared" si="278"/>
        <v>0</v>
      </c>
      <c r="BS193" s="123"/>
      <c r="BT193" s="123">
        <f t="shared" si="279"/>
        <v>0</v>
      </c>
      <c r="BU193" s="123"/>
      <c r="BV193" s="126">
        <f t="shared" si="280"/>
        <v>0</v>
      </c>
      <c r="BW193" s="123"/>
      <c r="BX193" s="123">
        <f t="shared" si="281"/>
        <v>0</v>
      </c>
      <c r="BY193" s="123"/>
      <c r="BZ193" s="123">
        <f t="shared" si="282"/>
        <v>0</v>
      </c>
      <c r="CA193" s="123"/>
      <c r="CB193" s="123">
        <f t="shared" si="283"/>
        <v>0</v>
      </c>
      <c r="CC193" s="123"/>
      <c r="CD193" s="123">
        <f t="shared" si="284"/>
        <v>0</v>
      </c>
      <c r="CE193" s="123"/>
      <c r="CF193" s="123">
        <f t="shared" si="285"/>
        <v>0</v>
      </c>
      <c r="CG193" s="132"/>
      <c r="CH193" s="123">
        <f t="shared" si="286"/>
        <v>0</v>
      </c>
      <c r="CI193" s="123"/>
      <c r="CJ193" s="127">
        <f t="shared" si="287"/>
        <v>0</v>
      </c>
      <c r="CK193" s="123"/>
      <c r="CL193" s="123">
        <f t="shared" si="288"/>
        <v>0</v>
      </c>
      <c r="CM193" s="130"/>
      <c r="CN193" s="123">
        <f t="shared" si="289"/>
        <v>0</v>
      </c>
      <c r="CO193" s="123"/>
      <c r="CP193" s="123">
        <f t="shared" si="290"/>
        <v>0</v>
      </c>
      <c r="CQ193" s="123"/>
      <c r="CR193" s="123">
        <f t="shared" si="291"/>
        <v>0</v>
      </c>
      <c r="CS193" s="123"/>
      <c r="CT193" s="133">
        <f t="shared" si="292"/>
        <v>0</v>
      </c>
      <c r="CU193" s="127"/>
      <c r="CV193" s="123">
        <f t="shared" si="293"/>
        <v>0</v>
      </c>
      <c r="CW193" s="126">
        <f t="shared" si="294"/>
        <v>61</v>
      </c>
      <c r="CX193" s="126">
        <f t="shared" si="294"/>
        <v>14117910.364739999</v>
      </c>
    </row>
    <row r="194" spans="1:102" x14ac:dyDescent="0.25">
      <c r="A194" s="91"/>
      <c r="B194" s="116">
        <v>162</v>
      </c>
      <c r="C194" s="117" t="s">
        <v>477</v>
      </c>
      <c r="D194" s="161" t="s">
        <v>478</v>
      </c>
      <c r="E194" s="95">
        <v>28004</v>
      </c>
      <c r="F194" s="96">
        <v>29405</v>
      </c>
      <c r="G194" s="119">
        <v>1.1100000000000001</v>
      </c>
      <c r="H194" s="107">
        <v>1</v>
      </c>
      <c r="I194" s="108"/>
      <c r="J194" s="108"/>
      <c r="K194" s="108"/>
      <c r="L194" s="142">
        <v>0.28129999999999999</v>
      </c>
      <c r="M194" s="120">
        <v>1.4</v>
      </c>
      <c r="N194" s="120">
        <v>1.68</v>
      </c>
      <c r="O194" s="120">
        <v>2.23</v>
      </c>
      <c r="P194" s="121">
        <v>2.57</v>
      </c>
      <c r="Q194" s="122"/>
      <c r="R194" s="143">
        <f>(Q194/12*2*$E194*$G194*((1-$L194)+$L194*$M194*$R$11*$H194))+(Q194/12*10*$F194*$G194*((1-$L194)+$L194*$M194*$R$11*$H194))</f>
        <v>0</v>
      </c>
      <c r="S194" s="124">
        <v>2</v>
      </c>
      <c r="T194" s="144">
        <f>(S194/12*2*$E194*$G194*((1-$L194)+$L194*$M194*$R$11*$H194))+(S194/12*10*$F194*$G194*((1-$L194)+$L194*$M194*$R$11*$H194))</f>
        <v>74598.014408460003</v>
      </c>
      <c r="U194" s="123"/>
      <c r="V194" s="143">
        <f>(U194/12*2*$E194*$G194*((1-$L194)+$L194*$M194*V$11*$H194))+(U194/12*10*$F194*$G194*((1-$L194)+$L194*$M194*V$12*$H194))</f>
        <v>0</v>
      </c>
      <c r="W194" s="123"/>
      <c r="X194" s="143">
        <f>(W194/12*2*$E194*$G194*((1-$L194)+$L194*$M194*$X$11*$H194))+(W194/12*10*$F194*$G194*((1-$L194)+$L194*$M194*$X$12*$H194))</f>
        <v>0</v>
      </c>
      <c r="Y194" s="123"/>
      <c r="Z194" s="143">
        <f>(Y194/12*2*$E194*$G194*((1-$L194)+$L194*$M194*$Z$11*$H194))+(Y194/12*10*$F194*$G194*((1-$L194)+$L194*$M194*$Z$12*$H194))</f>
        <v>0</v>
      </c>
      <c r="AA194" s="123"/>
      <c r="AB194" s="143">
        <f>(AA194/12*2*$E194*$G194*((1-$L194)+$L194*$M194*$AB$11*$H194))+(AA194/12*10*$F194*$G194*((1-$L194)+$L194*$M194*$AB$11*$H194))</f>
        <v>0</v>
      </c>
      <c r="AC194" s="123"/>
      <c r="AD194" s="123"/>
      <c r="AE194" s="123"/>
      <c r="AF194" s="143">
        <f>(AE194/12*2*$E194*$G194*((1-$L194)+$L194*$M194*AF$11*$H194))+(AE194/12*10*$F194*$G194*((1-$L194)+$L194*$M194*AF$11*$H194))</f>
        <v>0</v>
      </c>
      <c r="AG194" s="123">
        <v>0</v>
      </c>
      <c r="AH194" s="143">
        <f>(AG194/12*2*$E194*$G194*((1-$L194)+$L194*$H194*AH$11*$M194))+(AG194/12*10*$F194*$G194*((1-$L194)+$L194*$H194*AH$11*$M194))</f>
        <v>0</v>
      </c>
      <c r="AI194" s="123"/>
      <c r="AJ194" s="143">
        <f t="shared" ref="AJ194:AJ195" si="295">(AI194/12*2*$E194*$G194*((1-$L194)+$L194*$H194*AJ$11*$M194))+(AI194/12*5*$F194*$G194*((1-$L194)+$L194*$H194*AJ$12*$M194))+(AI194/12*5*$F194*$G194*((1-$L194)+$L194*$H194*AJ$13*$M194))</f>
        <v>0</v>
      </c>
      <c r="AK194" s="123"/>
      <c r="AL194" s="143">
        <f t="shared" ref="AL194:AL195" si="296">(AK194/12*2*$E194*$G194*((1-$L194)+$L194*$H194*AL$11*$N194))+(AK194/12*4*$F194*$G194*((1-$L194)+$L194*$H194*AL$12*$N194))+(AK194/12*6*$F194*$G194*((1-$L194)+$L194*$H194*AL$13*$N194))</f>
        <v>0</v>
      </c>
      <c r="AM194" s="132">
        <v>0</v>
      </c>
      <c r="AN194" s="143">
        <f>(AM194/12*2*$E194*$G194*((1-$L194)+$L194*$N194*$AN$11*H194))+(AM194/12*10*$F194*$G194*((1-$L194)+$L194*$N194*$AN$12*H194))</f>
        <v>0</v>
      </c>
      <c r="AO194" s="130"/>
      <c r="AP194" s="143">
        <f>(AO194/12*2*$E194*$G194*((1-$L194)+$L194*$H194*AP$11*$N194))+(AO194/12*10*$F194*$G194*((1-$L194)+$L194*$H194*AP$11*$N194))</f>
        <v>0</v>
      </c>
      <c r="AQ194" s="143">
        <v>0</v>
      </c>
      <c r="AR194" s="143">
        <v>0</v>
      </c>
      <c r="AS194" s="123"/>
      <c r="AT194" s="123"/>
      <c r="AU194" s="123"/>
      <c r="AV194" s="126"/>
      <c r="AW194" s="123"/>
      <c r="AX194" s="143">
        <f>(AW194/12*2*$E194*$G194*((1-$L194)+$L194*$H194*AX$11*$M194))+(AW194/12*10*$F194*$G194*((1-$L194)+$L194*$H194*AX$12*$M194))</f>
        <v>0</v>
      </c>
      <c r="AY194" s="123">
        <v>0</v>
      </c>
      <c r="AZ194" s="143">
        <f>(AY194/12*2*$E194*$G194*((1-$L194)+$L194*$N194*$H194*$AZ$11))+(AY194/12*10*$F194*$G194*((1-$L194)+$L194*$N194*$H194*$AZ$11))</f>
        <v>0</v>
      </c>
      <c r="BA194" s="123"/>
      <c r="BB194" s="143">
        <f>(BA194/12*2*$E194*$G194*((1-$L194)+$L194*$H194*BB$11*$N194))+(BA194/12*10*$F194*$G194*((1-$L194)+$L194*$H194*BB$12*$N194))</f>
        <v>0</v>
      </c>
      <c r="BC194" s="123"/>
      <c r="BD194" s="146">
        <f t="shared" si="271"/>
        <v>0</v>
      </c>
      <c r="BE194" s="123"/>
      <c r="BF194" s="143">
        <f>(BE194/12*2*$E194*$G194*((1-$L194)+$L194*$H194*BF$11*$N194))+(BE194/12*10*$F194*$G194*((1-$L194)+$L194*$H194*BF$12*$N194))</f>
        <v>0</v>
      </c>
      <c r="BG194" s="123"/>
      <c r="BH194" s="143">
        <f>(BG194/12*2*$E194*$G194*((1-$L194)+$L194*$H194*BH$11*$N194))+(BG194/12*10*$F194*$G194*((1-$L194)+$L194*$H194*BH$11*$N194))</f>
        <v>0</v>
      </c>
      <c r="BI194" s="123"/>
      <c r="BJ194" s="143">
        <f>(BI194/12*2*$E194*$G194*((1-$L194)+$L194*$H194*BJ$11*$N194))+(BI194/12*10*$F194*$G194*((1-$L194)+$L194*$H194*BJ$11*$N194))</f>
        <v>0</v>
      </c>
      <c r="BK194" s="123"/>
      <c r="BL194" s="143">
        <f>(BK194/12*2*$E194*$G194*((1-$L194)+$L194*$H194*BL$11*$N194))+(BK194/12*10*$F194*$G194*((1-$L194)+$L194*$H194*BL$11*$N194))</f>
        <v>0</v>
      </c>
      <c r="BM194" s="123"/>
      <c r="BN194" s="143">
        <f>(BM194/12*2*$E194*$G194*((1-$L194)+$L194*$H194*BN$11*$M194))+(BM194/12*10*$F194*$G194*((1-$L194)+$L194*$H194*BN$11*$M194))</f>
        <v>0</v>
      </c>
      <c r="BO194" s="123"/>
      <c r="BP194" s="143">
        <f>(BO194/12*2*$E194*$G194*((1-$L194)+$L194*$H194*BP$11*$M194))+(BO194/12*10*$F194*$G194*((1-$L194)+$L194*$H194*BP$12*$M194))</f>
        <v>0</v>
      </c>
      <c r="BQ194" s="123"/>
      <c r="BR194" s="123"/>
      <c r="BS194" s="123"/>
      <c r="BT194" s="143">
        <f>(BS194/12*2*$E194*$G194*((1-$L194)+$L194*$H194*BT$11*$N194))+(BS194/12*10*$F194*$G194*((1-$L194)+$L194*$H194*BT$11*$N194))</f>
        <v>0</v>
      </c>
      <c r="BU194" s="123"/>
      <c r="BV194" s="126"/>
      <c r="BW194" s="123"/>
      <c r="BX194" s="143">
        <f>(BW194/12*2*$E194*$G194*((1-$L194)+$L194*$H194*BX$11*$M194))+(BW194/12*10*$F194*$G194*((1-$L194)+$L194*$H194*BX$11*$M194))</f>
        <v>0</v>
      </c>
      <c r="BY194" s="123"/>
      <c r="BZ194" s="143">
        <f>(BY194/12*2*$E194*$G194*((1-$L194)+$L194*$H194*BZ$11*$M194))+(BY194/12*10*$F194*$G194*((1-$L194)+$L194*$H194*BZ$11*$M194))</f>
        <v>0</v>
      </c>
      <c r="CA194" s="123"/>
      <c r="CB194" s="143">
        <f>(CA194/12*2*$E194*$G194*((1-$L194)+$L194*$H194*CB$11*$M194))+(CA194/12*10*$F194*$G194*((1-$L194)+$L194*$H194*CB$11*$M194))</f>
        <v>0</v>
      </c>
      <c r="CC194" s="123"/>
      <c r="CD194" s="146">
        <f>(CC194/12*2*$E194*$G194*((1-$L194)+$L194*$M194*$CD$11*$H194))+(CC194/12*10*$F194*$G194*((1-$L194)+$L194*$M194*$CD$11*$H194))</f>
        <v>0</v>
      </c>
      <c r="CE194" s="123"/>
      <c r="CF194" s="143">
        <f>(CE194/12*10*$F194*$G194*((1-$L194)+$L194*$H194*CF$11*$N194))</f>
        <v>0</v>
      </c>
      <c r="CG194" s="132"/>
      <c r="CH194" s="143">
        <f>(CG194/12*2*$E194*$G194*((1-$L194)+$L194*$H194*CH$11*$N194))+(CG194/12*10*$F194*$G194*((1-$L194)+$L194*$H194*CH$11*$N194))</f>
        <v>0</v>
      </c>
      <c r="CI194" s="123"/>
      <c r="CJ194" s="127"/>
      <c r="CK194" s="123"/>
      <c r="CL194" s="123"/>
      <c r="CM194" s="130"/>
      <c r="CN194" s="143">
        <f>((CM194/12*2*$E194*$G194*((1-$L194)+$L194*$H194*CN$11*$N194)))+((CM194/12*10*$F194*$G194*((1-$L194)+$L194*$H194*CN$11*$N194)))</f>
        <v>0</v>
      </c>
      <c r="CO194" s="123"/>
      <c r="CP194" s="143">
        <f>(CO194/12*2*$E194*$G194*((1-$L194)+$L194*$H194*CP$11*$N194))+(CO194/12*10*$F194*$G194*((1-$L194)+$L194*$H194*CP$11*$N194))</f>
        <v>0</v>
      </c>
      <c r="CQ194" s="123"/>
      <c r="CR194" s="143">
        <f>(CQ194/12*2*$E194*$G194*((1-$L194)+$L194*$H194*CR$11*$O194))+(CQ194/12*10*$F194*$G194*((1-$L194)+$L194*$H194*CR$11*$O194))</f>
        <v>0</v>
      </c>
      <c r="CS194" s="123"/>
      <c r="CT194" s="143">
        <f>(CS194/12*2*$E194*$G194*((1-$L194)+$L194*$H194*CT$11*$P194))+(CS194/12*10*$F194*$G194*((1-$L194)+$L194*$H194*CT$11*$P194))</f>
        <v>0</v>
      </c>
      <c r="CU194" s="127"/>
      <c r="CV194" s="127"/>
      <c r="CW194" s="126">
        <f t="shared" si="294"/>
        <v>2</v>
      </c>
      <c r="CX194" s="126">
        <f t="shared" si="294"/>
        <v>74598.014408460003</v>
      </c>
    </row>
    <row r="195" spans="1:102" ht="20.25" customHeight="1" x14ac:dyDescent="0.25">
      <c r="A195" s="91"/>
      <c r="B195" s="116">
        <v>163</v>
      </c>
      <c r="C195" s="117" t="s">
        <v>479</v>
      </c>
      <c r="D195" s="161" t="s">
        <v>480</v>
      </c>
      <c r="E195" s="95">
        <v>28004</v>
      </c>
      <c r="F195" s="96">
        <v>29405</v>
      </c>
      <c r="G195" s="119">
        <v>2.9</v>
      </c>
      <c r="H195" s="107">
        <v>1</v>
      </c>
      <c r="I195" s="108"/>
      <c r="J195" s="108"/>
      <c r="K195" s="108"/>
      <c r="L195" s="142">
        <v>0.39560000000000001</v>
      </c>
      <c r="M195" s="120">
        <v>1.4</v>
      </c>
      <c r="N195" s="120">
        <v>1.68</v>
      </c>
      <c r="O195" s="120">
        <v>2.23</v>
      </c>
      <c r="P195" s="121">
        <v>2.57</v>
      </c>
      <c r="Q195" s="122">
        <v>2</v>
      </c>
      <c r="R195" s="143">
        <f>(Q195/12*2*$E195*$G195*((1-$L195)+$L195*$M195*$R$11*$H195))+(Q195/12*10*$F195*$G195*((1-$L195)+$L195*$M195*$R$11*$H195))</f>
        <v>205338.74859280002</v>
      </c>
      <c r="S195" s="124"/>
      <c r="T195" s="144">
        <f>(S195/12*2*$E195*$G195*((1-$L195)+$L195*$M195*$R$11*$H195))+(S195/12*10*$F195*$G195*((1-$L195)+$L195*$M195*$R$11*$H195))</f>
        <v>0</v>
      </c>
      <c r="U195" s="123"/>
      <c r="V195" s="143">
        <f>(U195/12*2*$E195*$G195*((1-$L195)+$L195*$M195*V$11*$H195))+(U195/12*10*$F195*$G195*((1-$L195)+$L195*$M195*V$12*$H195))</f>
        <v>0</v>
      </c>
      <c r="W195" s="123"/>
      <c r="X195" s="143">
        <f>(W195/12*2*$E195*$G195*((1-$L195)+$L195*$M195*$X$11*$H195))+(W195/12*10*$F195*$G195*((1-$L195)+$L195*$M195*$X$12*$H195))</f>
        <v>0</v>
      </c>
      <c r="Y195" s="123">
        <f>6-2</f>
        <v>4</v>
      </c>
      <c r="Z195" s="143">
        <f>(Y195/12*2*$E195*$G195*((1-$L195)+$L195*$M195*$Z$11*$H195))+(Y195/12*10*$F195*$G195*((1-$L195)+$L195*$M195*$Z$12*$H195))</f>
        <v>455881.60598906665</v>
      </c>
      <c r="AA195" s="123"/>
      <c r="AB195" s="143">
        <f>(AA195/12*2*$E195*$G195*((1-$L195)+$L195*$M195*$AB$11*$H195))+(AA195/12*10*$F195*$G195*((1-$L195)+$L195*$M195*$AB$11*$H195))</f>
        <v>0</v>
      </c>
      <c r="AC195" s="123"/>
      <c r="AD195" s="123"/>
      <c r="AE195" s="123"/>
      <c r="AF195" s="143">
        <f>(AE195/12*2*$E195*$G195*((1-$L195)+$L195*$M195*AF$11*$H195))+(AE195/12*10*$F195*$G195*((1-$L195)+$L195*$M195*AF$11*$H195))</f>
        <v>0</v>
      </c>
      <c r="AG195" s="123">
        <v>0</v>
      </c>
      <c r="AH195" s="143">
        <f>(AG195/12*2*$E195*$G195*((1-$L195)+$L195*$H195*AH$11*$M195))+(AG195/12*10*$F195*$G195*((1-$L195)+$L195*$H195*AH$11*$M195))</f>
        <v>0</v>
      </c>
      <c r="AI195" s="123"/>
      <c r="AJ195" s="143">
        <f t="shared" si="295"/>
        <v>0</v>
      </c>
      <c r="AK195" s="123"/>
      <c r="AL195" s="143">
        <f t="shared" si="296"/>
        <v>0</v>
      </c>
      <c r="AM195" s="132"/>
      <c r="AN195" s="143">
        <f>(AM195/12*2*$E195*$G195*((1-$L195)+$L195*$N195*$AN$11*H195))+(AM195/12*10*$F195*$G195*((1-$L195)+$L195*$N195*$AN$12*H195))</f>
        <v>0</v>
      </c>
      <c r="AO195" s="130"/>
      <c r="AP195" s="143">
        <f>(AO195/12*2*$E195*$G195*((1-$L195)+$L195*$H195*AP$11*$N195))+(AO195/12*10*$F195*$G195*((1-$L195)+$L195*$H195*AP$11*$N195))</f>
        <v>0</v>
      </c>
      <c r="AQ195" s="143">
        <v>0</v>
      </c>
      <c r="AR195" s="143">
        <v>0</v>
      </c>
      <c r="AS195" s="123"/>
      <c r="AT195" s="123"/>
      <c r="AU195" s="123"/>
      <c r="AV195" s="126"/>
      <c r="AW195" s="123"/>
      <c r="AX195" s="143">
        <f>(AW195/12*2*$E195*$G195*((1-$L195)+$L195*$H195*AX$11*$M195))+(AW195/12*10*$F195*$G195*((1-$L195)+$L195*$H195*AX$12*$M195))</f>
        <v>0</v>
      </c>
      <c r="AY195" s="123">
        <v>0</v>
      </c>
      <c r="AZ195" s="143">
        <f>(AY195/12*2*$E195*$G195*((1-$L195)+$L195*$N195*$H195*$AZ$11))+(AY195/12*10*$F195*$G195*((1-$L195)+$L195*$N195*$H195*$AZ$11))</f>
        <v>0</v>
      </c>
      <c r="BA195" s="123"/>
      <c r="BB195" s="143">
        <f>(BA195/12*2*$E195*$G195*((1-$L195)+$L195*$H195*BB$11*$N195))+(BA195/12*10*$F195*$G195*((1-$L195)+$L195*$H195*BB$12*$N195))</f>
        <v>0</v>
      </c>
      <c r="BC195" s="123"/>
      <c r="BD195" s="146">
        <f t="shared" si="271"/>
        <v>0</v>
      </c>
      <c r="BE195" s="123"/>
      <c r="BF195" s="143">
        <f>(BE195/12*2*$E195*$G195*((1-$L195)+$L195*$H195*BF$11*$N195))+(BE195/12*10*$F195*$G195*((1-$L195)+$L195*$H195*BF$12*$N195))</f>
        <v>0</v>
      </c>
      <c r="BG195" s="123"/>
      <c r="BH195" s="143">
        <f>(BG195/12*2*$E195*$G195*((1-$L195)+$L195*$H195*BH$11*$N195))+(BG195/12*10*$F195*$G195*((1-$L195)+$L195*$H195*BH$11*$N195))</f>
        <v>0</v>
      </c>
      <c r="BI195" s="123"/>
      <c r="BJ195" s="143">
        <f>(BI195/12*2*$E195*$G195*((1-$L195)+$L195*$H195*BJ$11*$N195))+(BI195/12*10*$F195*$G195*((1-$L195)+$L195*$H195*BJ$11*$N195))</f>
        <v>0</v>
      </c>
      <c r="BK195" s="123"/>
      <c r="BL195" s="143">
        <f>(BK195/12*2*$E195*$G195*((1-$L195)+$L195*$H195*BL$11*$N195))+(BK195/12*10*$F195*$G195*((1-$L195)+$L195*$H195*BL$11*$N195))</f>
        <v>0</v>
      </c>
      <c r="BM195" s="123"/>
      <c r="BN195" s="143">
        <f>(BM195/12*2*$E195*$G195*((1-$L195)+$L195*$H195*BN$11*$M195))+(BM195/12*10*$F195*$G195*((1-$L195)+$L195*$H195*BN$11*$M195))</f>
        <v>0</v>
      </c>
      <c r="BO195" s="123"/>
      <c r="BP195" s="143">
        <f>(BO195/12*2*$E195*$G195*((1-$L195)+$L195*$H195*BP$11*$M195))+(BO195/12*10*$F195*$G195*((1-$L195)+$L195*$H195*BP$12*$M195))</f>
        <v>0</v>
      </c>
      <c r="BQ195" s="123"/>
      <c r="BR195" s="123"/>
      <c r="BS195" s="123"/>
      <c r="BT195" s="143">
        <f>(BS195/12*2*$E195*$G195*((1-$L195)+$L195*$H195*BT$11*$N195))+(BS195/12*10*$F195*$G195*((1-$L195)+$L195*$H195*BT$11*$N195))</f>
        <v>0</v>
      </c>
      <c r="BU195" s="123"/>
      <c r="BV195" s="126"/>
      <c r="BW195" s="123"/>
      <c r="BX195" s="143">
        <f>(BW195/12*2*$E195*$G195*((1-$L195)+$L195*$H195*BX$11*$M195))+(BW195/12*10*$F195*$G195*((1-$L195)+$L195*$H195*BX$11*$M195))</f>
        <v>0</v>
      </c>
      <c r="BY195" s="123"/>
      <c r="BZ195" s="143">
        <f>(BY195/12*2*$E195*$G195*((1-$L195)+$L195*$H195*BZ$11*$M195))+(BY195/12*10*$F195*$G195*((1-$L195)+$L195*$H195*BZ$11*$M195))</f>
        <v>0</v>
      </c>
      <c r="CA195" s="123"/>
      <c r="CB195" s="143">
        <f>(CA195/12*2*$E195*$G195*((1-$L195)+$L195*$H195*CB$11*$M195))+(CA195/12*10*$F195*$G195*((1-$L195)+$L195*$H195*CB$11*$M195))</f>
        <v>0</v>
      </c>
      <c r="CC195" s="123"/>
      <c r="CD195" s="146">
        <f>(CC195/12*2*$E195*$G195*((1-$L195)+$L195*$M195*$CD$11*$H195))+(CC195/12*10*$F195*$G195*((1-$L195)+$L195*$M195*$CD$11*$H195))</f>
        <v>0</v>
      </c>
      <c r="CE195" s="123"/>
      <c r="CF195" s="143">
        <f>(CE195/12*10*$F195*$G195*((1-$L195)+$L195*$H195*CF$11*$N195))</f>
        <v>0</v>
      </c>
      <c r="CG195" s="132"/>
      <c r="CH195" s="143">
        <f>(CG195/12*2*$E195*$G195*((1-$L195)+$L195*$H195*CH$11*$N195))+(CG195/12*10*$F195*$G195*((1-$L195)+$L195*$H195*CH$11*$N195))</f>
        <v>0</v>
      </c>
      <c r="CI195" s="123"/>
      <c r="CJ195" s="127"/>
      <c r="CK195" s="123"/>
      <c r="CL195" s="123"/>
      <c r="CM195" s="130"/>
      <c r="CN195" s="143">
        <f>((CM195/12*2*$E195*$G195*((1-$L195)+$L195*$H195*CN$11*$N195)))+((CM195/12*10*$F195*$G195*((1-$L195)+$L195*$H195*CN$11*$N195)))</f>
        <v>0</v>
      </c>
      <c r="CO195" s="123"/>
      <c r="CP195" s="143">
        <f>(CO195/12*2*$E195*$G195*((1-$L195)+$L195*$H195*CP$11*$N195))+(CO195/12*10*$F195*$G195*((1-$L195)+$L195*$H195*CP$11*$N195))</f>
        <v>0</v>
      </c>
      <c r="CQ195" s="123"/>
      <c r="CR195" s="143">
        <f>(CQ195/12*2*$E195*$G195*((1-$L195)+$L195*$H195*CR$11*$O195))+(CQ195/12*10*$F195*$G195*((1-$L195)+$L195*$H195*CR$11*$O195))</f>
        <v>0</v>
      </c>
      <c r="CS195" s="123"/>
      <c r="CT195" s="143">
        <f>(CS195/12*2*$E195*$G195*((1-$L195)+$L195*$H195*CT$11*$P195))+(CS195/12*10*$F195*$G195*((1-$L195)+$L195*$H195*CT$11*$P195))</f>
        <v>0</v>
      </c>
      <c r="CU195" s="127"/>
      <c r="CV195" s="127"/>
      <c r="CW195" s="126">
        <f t="shared" si="294"/>
        <v>6</v>
      </c>
      <c r="CX195" s="126">
        <f t="shared" si="294"/>
        <v>661220.35458186665</v>
      </c>
    </row>
    <row r="196" spans="1:102" ht="45" customHeight="1" x14ac:dyDescent="0.25">
      <c r="A196" s="91"/>
      <c r="B196" s="116">
        <v>164</v>
      </c>
      <c r="C196" s="117" t="s">
        <v>481</v>
      </c>
      <c r="D196" s="161" t="s">
        <v>482</v>
      </c>
      <c r="E196" s="95">
        <v>28004</v>
      </c>
      <c r="F196" s="96">
        <v>29405</v>
      </c>
      <c r="G196" s="119">
        <v>2.93</v>
      </c>
      <c r="H196" s="107">
        <v>1</v>
      </c>
      <c r="I196" s="108"/>
      <c r="J196" s="108"/>
      <c r="K196" s="108"/>
      <c r="L196" s="63"/>
      <c r="M196" s="120">
        <v>1.4</v>
      </c>
      <c r="N196" s="120">
        <v>1.68</v>
      </c>
      <c r="O196" s="120">
        <v>2.23</v>
      </c>
      <c r="P196" s="121">
        <v>2.57</v>
      </c>
      <c r="Q196" s="122">
        <v>1</v>
      </c>
      <c r="R196" s="123">
        <f t="shared" ref="R196:R204" si="297">(Q196/12*2*$E196*$G196*$H196*$M196*$R$11)+(Q196/12*10*$F196*$G196*$H196*$M196*$R$11)</f>
        <v>131627.64230000001</v>
      </c>
      <c r="S196" s="124"/>
      <c r="T196" s="125">
        <f t="shared" ref="T196:T204" si="298">(S196/12*2*$E196*$G196*$H196*$M196*$R$11)+(S196/12*10*$F196*$G196*$H196*$M196*$R$11)</f>
        <v>0</v>
      </c>
      <c r="U196" s="123"/>
      <c r="V196" s="123">
        <f t="shared" ref="V196:V204" si="299">(U196/12*2*$E196*$G196*$H196*$M196*$V$11)+(U196/12*10*$F196*$G196*$H196*$M196*$V$12)</f>
        <v>0</v>
      </c>
      <c r="W196" s="123"/>
      <c r="X196" s="126">
        <f t="shared" ref="X196:X204" si="300">(W196/12*2*$E196*$G196*$H196*$M196*$X$11)+(W196/12*10*$F196*$G196*$H196*$M196*$X$12)</f>
        <v>0</v>
      </c>
      <c r="Y196" s="123">
        <v>2</v>
      </c>
      <c r="Z196" s="123">
        <f t="shared" ref="Z196:Z204" si="301">(Y196/12*2*$E196*$G196*$H196*$M196*$Z$11)+(Y196/12*10*$F196*$G196*$H196*$M196*$Z$12)</f>
        <v>320979.92756666662</v>
      </c>
      <c r="AA196" s="123"/>
      <c r="AB196" s="123">
        <f t="shared" ref="AB196:AB204" si="302">(AA196/12*2*$E196*$G196*$H196*$M196*$AB$11)+(AA196/12*10*$F196*$G196*$H196*$M196*$AB$11)</f>
        <v>0</v>
      </c>
      <c r="AC196" s="123"/>
      <c r="AD196" s="123"/>
      <c r="AE196" s="123"/>
      <c r="AF196" s="123">
        <f t="shared" ref="AF196:AF204" si="303">(AE196/12*2*$E196*$G196*$H196*$M196*$AF$11)+(AE196/12*10*$F196*$G196*$H196*$M196*$AF$11)</f>
        <v>0</v>
      </c>
      <c r="AG196" s="123">
        <v>0</v>
      </c>
      <c r="AH196" s="126">
        <f t="shared" ref="AH196:AH204" si="304">(AG196/12*2*$E196*$G196*$H196*$M196*$AH$11)+(AG196/12*10*$F196*$G196*$H196*$M196*$AH$11)</f>
        <v>0</v>
      </c>
      <c r="AI196" s="123"/>
      <c r="AJ196" s="123">
        <f t="shared" ref="AJ196:AJ204" si="305">(AI196/12*2*$E196*$G196*$H196*$M196*$AJ$11)+(AI196/12*5*$F196*$G196*$H196*$M196*$AJ$12)+(AI196/12*5*$F196*$G196*$H196*$M196*$AJ$13)</f>
        <v>0</v>
      </c>
      <c r="AK196" s="123"/>
      <c r="AL196" s="123">
        <f t="shared" ref="AL196:AL204" si="306">(AK196/12*2*$E196*$G196*$H196*$N196*$AL$11)+(AK196/12*5*$F196*$G196*$H196*$N196*$AL$12)++(AK196/12*5*$F196*$G196*$H196*$N196*$AL$13)</f>
        <v>0</v>
      </c>
      <c r="AM196" s="132">
        <v>12</v>
      </c>
      <c r="AN196" s="123">
        <f t="shared" ref="AN196:AN204" si="307">(AM196/12*2*$E196*$G196*$H196*$N196*$AN$11)+(AM196/12*10*$F196*$G196*$H196*$N196*$AN$12)</f>
        <v>2311055.47848</v>
      </c>
      <c r="AO196" s="130"/>
      <c r="AP196" s="127">
        <f t="shared" ref="AP196:AP204" si="308">(AO196/12*2*$E196*$G196*$H196*$N196*$AP$11)+(AO196/12*10*$F196*$G196*$H196*$N196*$AP$11)</f>
        <v>0</v>
      </c>
      <c r="AQ196" s="127">
        <v>0</v>
      </c>
      <c r="AR196" s="127">
        <v>0</v>
      </c>
      <c r="AS196" s="123"/>
      <c r="AT196" s="123">
        <f t="shared" ref="AT196:AT204" si="309">(AS196/12*2*$E196*$G196*$H196*$M196*$AT$11)+(AS196/12*10*$F196*$G196*$H196*$M196*$AT$11)</f>
        <v>0</v>
      </c>
      <c r="AU196" s="123"/>
      <c r="AV196" s="126">
        <f t="shared" ref="AV196:AV204" si="310">(AU196/12*2*$E196*$G196*$H196*$M196*$AV$11)+(AU196/12*10*$F196*$G196*$H196*$M196*$AV$12)</f>
        <v>0</v>
      </c>
      <c r="AW196" s="123"/>
      <c r="AX196" s="123">
        <f t="shared" ref="AX196:AX204" si="311">(AW196/12*2*$E196*$G196*$H196*$M196*$AX$11)+(AW196/12*10*$F196*$G196*$H196*$M196*$AX$12)</f>
        <v>0</v>
      </c>
      <c r="AY196" s="123">
        <v>0</v>
      </c>
      <c r="AZ196" s="123">
        <f t="shared" ref="AZ196:AZ204" si="312">(AY196/12*2*$E196*$G196*$H196*$N196*$AZ$11)+(AY196/12*10*$F196*$G196*$H196*$N196*$AZ$11)</f>
        <v>0</v>
      </c>
      <c r="BA196" s="123"/>
      <c r="BB196" s="123">
        <f t="shared" ref="BB196:BB204" si="313">(BA196/12*2*$E196*$G196*$H196*$N196*$BB$11)+(BA196/12*10*$F196*$G196*$H196*$N196*$BB$12)</f>
        <v>0</v>
      </c>
      <c r="BC196" s="123"/>
      <c r="BD196" s="126">
        <f t="shared" si="271"/>
        <v>0</v>
      </c>
      <c r="BE196" s="123"/>
      <c r="BF196" s="123">
        <f t="shared" ref="BF196:BF204" si="314">(BE196/12*10*$F196*$G196*$H196*$N196*$BF$12)</f>
        <v>0</v>
      </c>
      <c r="BG196" s="123"/>
      <c r="BH196" s="123">
        <f t="shared" ref="BH196:BH204" si="315">(BG196/12*2*$E196*$G196*$H196*$N196*$BH$11)+(BG196/12*10*$F196*$G196*$H196*$N196*$BH$11)</f>
        <v>0</v>
      </c>
      <c r="BI196" s="123"/>
      <c r="BJ196" s="126">
        <f t="shared" ref="BJ196:BJ204" si="316">(BI196/12*2*$E196*$G196*$H196*$N196*$BJ$11)+(BI196/12*10*$F196*$G196*$H196*$N196*$BJ$11)</f>
        <v>0</v>
      </c>
      <c r="BK196" s="123"/>
      <c r="BL196" s="127">
        <f t="shared" ref="BL196:BL204" si="317">(BK196/12*2*$E196*$G196*$H196*$N196*$BL$11)+(BK196/12*10*$F196*$G196*$H196*$N196*$BL$11)</f>
        <v>0</v>
      </c>
      <c r="BM196" s="123"/>
      <c r="BN196" s="123">
        <f t="shared" ref="BN196:BN204" si="318">(BM196/12*2*$E196*$G196*$H196*$M196*$BN$11)+(BM196/12*10*$F196*$G196*$H196*$M196*$BN$11)</f>
        <v>0</v>
      </c>
      <c r="BO196" s="123"/>
      <c r="BP196" s="123">
        <f t="shared" ref="BP196:BP204" si="319">(BO196/12*2*$E196*$G196*$H196*$M196*$BP$11)+(BO196/12*10*$F196*$G196*$H196*$M196*$BP$12)</f>
        <v>0</v>
      </c>
      <c r="BQ196" s="123"/>
      <c r="BR196" s="123">
        <f t="shared" ref="BR196:BR204" si="320">(BQ196/12*2*$E196*$G196*$H196*$M196*$BR$11)+(BQ196/12*10*$F196*$G196*$H196*$M196*$BR$11)</f>
        <v>0</v>
      </c>
      <c r="BS196" s="123"/>
      <c r="BT196" s="123">
        <f t="shared" ref="BT196:BT204" si="321">(BS196/12*2*$E196*$G196*$H196*$N196*$BT$11)+(BS196/12*10*$F196*$G196*$H196*$N196*$BT$11)</f>
        <v>0</v>
      </c>
      <c r="BU196" s="123"/>
      <c r="BV196" s="126">
        <f t="shared" ref="BV196:BV204" si="322">(BU196/12*2*$E196*$G196*$H196*$M196*$BV$11)+(BU196/12*10*$F196*$G196*$H196*$M196*$BV$11)</f>
        <v>0</v>
      </c>
      <c r="BW196" s="123"/>
      <c r="BX196" s="123">
        <f t="shared" ref="BX196:BX204" si="323">(BW196/12*2*$E196*$G196*$H196*$M196*$BX$11)+(BW196/12*10*$F196*$G196*$H196*$M196*$BX$11)</f>
        <v>0</v>
      </c>
      <c r="BY196" s="123"/>
      <c r="BZ196" s="123">
        <f t="shared" ref="BZ196:BZ204" si="324">(BY196/12*2*$E196*$G196*$H196*$M196*$BZ$11)+(BY196/12*10*$F196*$G196*$H196*$M196*$BZ$11)</f>
        <v>0</v>
      </c>
      <c r="CA196" s="123"/>
      <c r="CB196" s="123">
        <f t="shared" ref="CB196:CB204" si="325">(CA196/12*2*$E196*$G196*$H196*$M196*$CB$11)+(CA196/12*10*$F196*$G196*$H196*$M196*$CB$11)</f>
        <v>0</v>
      </c>
      <c r="CC196" s="123"/>
      <c r="CD196" s="123">
        <f t="shared" ref="CD196:CD203" si="326">(CC196/12*2*$E196*$G196*$H196*$M196*$CD$11)+(CC196/12*10*$F196*$G196*$H196*$M196*$CD$11)</f>
        <v>0</v>
      </c>
      <c r="CE196" s="123"/>
      <c r="CF196" s="123">
        <f t="shared" ref="CF196:CF204" si="327">(CE196/12*10*$F196*$G196*$H196*$N196*$CF$11)</f>
        <v>0</v>
      </c>
      <c r="CG196" s="132"/>
      <c r="CH196" s="123">
        <f t="shared" ref="CH196:CH204" si="328">(CG196/12*2*$E196*$G196*$H196*$N196*$CH$11)+(CG196/12*10*$F196*$G196*$H196*$N196*$CH$11)</f>
        <v>0</v>
      </c>
      <c r="CI196" s="123"/>
      <c r="CJ196" s="127"/>
      <c r="CK196" s="123"/>
      <c r="CL196" s="123">
        <f t="shared" ref="CL196:CL204" si="329">(CK196/12*2*$E196*$G196*$H196*$N196*$CL$11)+(CK196/12*10*$F196*$G196*$H196*$N196*$CL$12)</f>
        <v>0</v>
      </c>
      <c r="CM196" s="130"/>
      <c r="CN196" s="123">
        <f t="shared" ref="CN196:CN204" si="330">(CM196/12*2*$E196*$G196*$H196*$N196*$CN$11)+(CM196/12*10*$F196*$G196*$H196*$N196*$CN$11)</f>
        <v>0</v>
      </c>
      <c r="CO196" s="123"/>
      <c r="CP196" s="123">
        <f t="shared" ref="CP196:CP204" si="331">(CO196/12*2*$E196*$G196*$H196*$N196*$CP$11)+(CO196/12*10*$F196*$G196*$H196*$N196*$CP$11)</f>
        <v>0</v>
      </c>
      <c r="CQ196" s="123"/>
      <c r="CR196" s="123">
        <f t="shared" ref="CR196:CR204" si="332">(CQ196/12*2*$E196*$G196*$H196*$O196*$CR$11)+(CQ196/12*10*$F196*$G196*$H196*$O196*$CR$11)</f>
        <v>0</v>
      </c>
      <c r="CS196" s="123"/>
      <c r="CT196" s="133">
        <f t="shared" ref="CT196:CT204" si="333">(CS196/12*2*$E196*$G196*$H196*$P196*$CT$11)+(CS196/12*10*$F196*$G196*$H196*$P196*$CT$11)</f>
        <v>0</v>
      </c>
      <c r="CU196" s="127"/>
      <c r="CV196" s="123">
        <f t="shared" ref="CV196:CV204" si="334">(CU196*$E196*$G196*$H196*$M196*CV$11)/12*6+(CU196*$E196*$G196*$H196*1*CV$11)/12*6</f>
        <v>0</v>
      </c>
      <c r="CW196" s="126">
        <f t="shared" si="294"/>
        <v>15</v>
      </c>
      <c r="CX196" s="126">
        <f t="shared" si="294"/>
        <v>2763663.0483466666</v>
      </c>
    </row>
    <row r="197" spans="1:102" ht="45" customHeight="1" x14ac:dyDescent="0.25">
      <c r="A197" s="91"/>
      <c r="B197" s="116">
        <v>165</v>
      </c>
      <c r="C197" s="117" t="s">
        <v>483</v>
      </c>
      <c r="D197" s="161" t="s">
        <v>484</v>
      </c>
      <c r="E197" s="95">
        <v>28004</v>
      </c>
      <c r="F197" s="96">
        <v>29405</v>
      </c>
      <c r="G197" s="119">
        <v>1.24</v>
      </c>
      <c r="H197" s="107">
        <v>1</v>
      </c>
      <c r="I197" s="108"/>
      <c r="J197" s="108"/>
      <c r="K197" s="108"/>
      <c r="L197" s="63"/>
      <c r="M197" s="120">
        <v>1.4</v>
      </c>
      <c r="N197" s="120">
        <v>1.68</v>
      </c>
      <c r="O197" s="120">
        <v>2.23</v>
      </c>
      <c r="P197" s="121">
        <v>2.57</v>
      </c>
      <c r="Q197" s="122">
        <v>5</v>
      </c>
      <c r="R197" s="123">
        <f t="shared" si="297"/>
        <v>278529.48200000002</v>
      </c>
      <c r="S197" s="124"/>
      <c r="T197" s="125">
        <f t="shared" si="298"/>
        <v>0</v>
      </c>
      <c r="U197" s="123"/>
      <c r="V197" s="123">
        <f t="shared" si="299"/>
        <v>0</v>
      </c>
      <c r="W197" s="123"/>
      <c r="X197" s="126">
        <f t="shared" si="300"/>
        <v>0</v>
      </c>
      <c r="Y197" s="123">
        <f>75+23</f>
        <v>98</v>
      </c>
      <c r="Z197" s="123">
        <f t="shared" si="301"/>
        <v>6656225.3921333328</v>
      </c>
      <c r="AA197" s="123"/>
      <c r="AB197" s="123">
        <f t="shared" si="302"/>
        <v>0</v>
      </c>
      <c r="AC197" s="123"/>
      <c r="AD197" s="123"/>
      <c r="AE197" s="123"/>
      <c r="AF197" s="123">
        <f t="shared" si="303"/>
        <v>0</v>
      </c>
      <c r="AG197" s="123">
        <v>0</v>
      </c>
      <c r="AH197" s="126">
        <f t="shared" si="304"/>
        <v>0</v>
      </c>
      <c r="AI197" s="123"/>
      <c r="AJ197" s="123">
        <f t="shared" si="305"/>
        <v>0</v>
      </c>
      <c r="AK197" s="123"/>
      <c r="AL197" s="123">
        <f t="shared" si="306"/>
        <v>0</v>
      </c>
      <c r="AM197" s="132">
        <v>3</v>
      </c>
      <c r="AN197" s="123">
        <f t="shared" si="307"/>
        <v>244514.40216</v>
      </c>
      <c r="AO197" s="130"/>
      <c r="AP197" s="127">
        <f t="shared" si="308"/>
        <v>0</v>
      </c>
      <c r="AQ197" s="127">
        <v>0</v>
      </c>
      <c r="AR197" s="127">
        <v>0</v>
      </c>
      <c r="AS197" s="123"/>
      <c r="AT197" s="123">
        <f t="shared" si="309"/>
        <v>0</v>
      </c>
      <c r="AU197" s="123"/>
      <c r="AV197" s="126">
        <f t="shared" si="310"/>
        <v>0</v>
      </c>
      <c r="AW197" s="123"/>
      <c r="AX197" s="123">
        <f t="shared" si="311"/>
        <v>0</v>
      </c>
      <c r="AY197" s="123">
        <v>0</v>
      </c>
      <c r="AZ197" s="123">
        <f t="shared" si="312"/>
        <v>0</v>
      </c>
      <c r="BA197" s="123"/>
      <c r="BB197" s="123">
        <f t="shared" si="313"/>
        <v>0</v>
      </c>
      <c r="BC197" s="123"/>
      <c r="BD197" s="126">
        <f t="shared" si="271"/>
        <v>0</v>
      </c>
      <c r="BE197" s="123"/>
      <c r="BF197" s="123">
        <f t="shared" si="314"/>
        <v>0</v>
      </c>
      <c r="BG197" s="123"/>
      <c r="BH197" s="123">
        <f t="shared" si="315"/>
        <v>0</v>
      </c>
      <c r="BI197" s="123"/>
      <c r="BJ197" s="126">
        <f t="shared" si="316"/>
        <v>0</v>
      </c>
      <c r="BK197" s="123"/>
      <c r="BL197" s="127">
        <f t="shared" si="317"/>
        <v>0</v>
      </c>
      <c r="BM197" s="123"/>
      <c r="BN197" s="123">
        <f t="shared" si="318"/>
        <v>0</v>
      </c>
      <c r="BO197" s="123"/>
      <c r="BP197" s="123">
        <f t="shared" si="319"/>
        <v>0</v>
      </c>
      <c r="BQ197" s="123"/>
      <c r="BR197" s="123">
        <f t="shared" si="320"/>
        <v>0</v>
      </c>
      <c r="BS197" s="123"/>
      <c r="BT197" s="123">
        <f t="shared" si="321"/>
        <v>0</v>
      </c>
      <c r="BU197" s="123"/>
      <c r="BV197" s="126">
        <f t="shared" si="322"/>
        <v>0</v>
      </c>
      <c r="BW197" s="123"/>
      <c r="BX197" s="123">
        <f t="shared" si="323"/>
        <v>0</v>
      </c>
      <c r="BY197" s="123"/>
      <c r="BZ197" s="123">
        <f t="shared" si="324"/>
        <v>0</v>
      </c>
      <c r="CA197" s="123"/>
      <c r="CB197" s="123">
        <f t="shared" si="325"/>
        <v>0</v>
      </c>
      <c r="CC197" s="123"/>
      <c r="CD197" s="123">
        <f t="shared" si="326"/>
        <v>0</v>
      </c>
      <c r="CE197" s="123"/>
      <c r="CF197" s="123">
        <f t="shared" si="327"/>
        <v>0</v>
      </c>
      <c r="CG197" s="132"/>
      <c r="CH197" s="123">
        <f t="shared" si="328"/>
        <v>0</v>
      </c>
      <c r="CI197" s="123"/>
      <c r="CJ197" s="127"/>
      <c r="CK197" s="123"/>
      <c r="CL197" s="123">
        <f t="shared" si="329"/>
        <v>0</v>
      </c>
      <c r="CM197" s="130"/>
      <c r="CN197" s="123">
        <f t="shared" si="330"/>
        <v>0</v>
      </c>
      <c r="CO197" s="123"/>
      <c r="CP197" s="123">
        <f t="shared" si="331"/>
        <v>0</v>
      </c>
      <c r="CQ197" s="123"/>
      <c r="CR197" s="123">
        <f t="shared" si="332"/>
        <v>0</v>
      </c>
      <c r="CS197" s="123"/>
      <c r="CT197" s="133">
        <f t="shared" si="333"/>
        <v>0</v>
      </c>
      <c r="CU197" s="127"/>
      <c r="CV197" s="123">
        <f t="shared" si="334"/>
        <v>0</v>
      </c>
      <c r="CW197" s="126">
        <f t="shared" si="294"/>
        <v>106</v>
      </c>
      <c r="CX197" s="126">
        <f t="shared" si="294"/>
        <v>7179269.2762933327</v>
      </c>
    </row>
    <row r="198" spans="1:102" ht="15.75" customHeight="1" x14ac:dyDescent="0.25">
      <c r="A198" s="91"/>
      <c r="B198" s="116">
        <v>166</v>
      </c>
      <c r="C198" s="160" t="s">
        <v>485</v>
      </c>
      <c r="D198" s="161" t="s">
        <v>486</v>
      </c>
      <c r="E198" s="95">
        <v>28004</v>
      </c>
      <c r="F198" s="96">
        <v>29405</v>
      </c>
      <c r="G198" s="119">
        <v>0.79</v>
      </c>
      <c r="H198" s="107">
        <v>1</v>
      </c>
      <c r="I198" s="108"/>
      <c r="J198" s="108"/>
      <c r="K198" s="108"/>
      <c r="L198" s="63"/>
      <c r="M198" s="120">
        <v>1.4</v>
      </c>
      <c r="N198" s="120">
        <v>1.68</v>
      </c>
      <c r="O198" s="120">
        <v>2.23</v>
      </c>
      <c r="P198" s="121">
        <v>2.57</v>
      </c>
      <c r="Q198" s="122">
        <v>0</v>
      </c>
      <c r="R198" s="123">
        <f t="shared" si="297"/>
        <v>0</v>
      </c>
      <c r="S198" s="124"/>
      <c r="T198" s="125">
        <f t="shared" si="298"/>
        <v>0</v>
      </c>
      <c r="U198" s="123"/>
      <c r="V198" s="123">
        <f t="shared" si="299"/>
        <v>0</v>
      </c>
      <c r="W198" s="123"/>
      <c r="X198" s="126">
        <f t="shared" si="300"/>
        <v>0</v>
      </c>
      <c r="Y198" s="123"/>
      <c r="Z198" s="123">
        <f t="shared" si="301"/>
        <v>0</v>
      </c>
      <c r="AA198" s="123"/>
      <c r="AB198" s="123">
        <f t="shared" si="302"/>
        <v>0</v>
      </c>
      <c r="AC198" s="123"/>
      <c r="AD198" s="123"/>
      <c r="AE198" s="123"/>
      <c r="AF198" s="123">
        <f t="shared" si="303"/>
        <v>0</v>
      </c>
      <c r="AG198" s="123">
        <v>0</v>
      </c>
      <c r="AH198" s="126">
        <f t="shared" si="304"/>
        <v>0</v>
      </c>
      <c r="AI198" s="123"/>
      <c r="AJ198" s="123">
        <f t="shared" si="305"/>
        <v>0</v>
      </c>
      <c r="AK198" s="123"/>
      <c r="AL198" s="123">
        <f t="shared" si="306"/>
        <v>0</v>
      </c>
      <c r="AM198" s="132">
        <v>0</v>
      </c>
      <c r="AN198" s="123">
        <f t="shared" si="307"/>
        <v>0</v>
      </c>
      <c r="AO198" s="130"/>
      <c r="AP198" s="127">
        <f t="shared" si="308"/>
        <v>0</v>
      </c>
      <c r="AQ198" s="127">
        <v>0</v>
      </c>
      <c r="AR198" s="127">
        <v>0</v>
      </c>
      <c r="AS198" s="123"/>
      <c r="AT198" s="123">
        <f t="shared" si="309"/>
        <v>0</v>
      </c>
      <c r="AU198" s="123"/>
      <c r="AV198" s="126">
        <f t="shared" si="310"/>
        <v>0</v>
      </c>
      <c r="AW198" s="123"/>
      <c r="AX198" s="123">
        <f t="shared" si="311"/>
        <v>0</v>
      </c>
      <c r="AY198" s="123">
        <v>0</v>
      </c>
      <c r="AZ198" s="123">
        <f t="shared" si="312"/>
        <v>0</v>
      </c>
      <c r="BA198" s="123"/>
      <c r="BB198" s="123">
        <f t="shared" si="313"/>
        <v>0</v>
      </c>
      <c r="BC198" s="123"/>
      <c r="BD198" s="126">
        <f t="shared" si="271"/>
        <v>0</v>
      </c>
      <c r="BE198" s="123"/>
      <c r="BF198" s="123">
        <f t="shared" si="314"/>
        <v>0</v>
      </c>
      <c r="BG198" s="123"/>
      <c r="BH198" s="123">
        <f t="shared" si="315"/>
        <v>0</v>
      </c>
      <c r="BI198" s="123"/>
      <c r="BJ198" s="126">
        <f t="shared" si="316"/>
        <v>0</v>
      </c>
      <c r="BK198" s="123"/>
      <c r="BL198" s="127">
        <f t="shared" si="317"/>
        <v>0</v>
      </c>
      <c r="BM198" s="123"/>
      <c r="BN198" s="123">
        <f t="shared" si="318"/>
        <v>0</v>
      </c>
      <c r="BO198" s="123"/>
      <c r="BP198" s="123">
        <f t="shared" si="319"/>
        <v>0</v>
      </c>
      <c r="BQ198" s="123"/>
      <c r="BR198" s="123">
        <f t="shared" si="320"/>
        <v>0</v>
      </c>
      <c r="BS198" s="123"/>
      <c r="BT198" s="123">
        <f t="shared" si="321"/>
        <v>0</v>
      </c>
      <c r="BU198" s="123"/>
      <c r="BV198" s="126">
        <f t="shared" si="322"/>
        <v>0</v>
      </c>
      <c r="BW198" s="123"/>
      <c r="BX198" s="123">
        <f t="shared" si="323"/>
        <v>0</v>
      </c>
      <c r="BY198" s="123"/>
      <c r="BZ198" s="123">
        <f t="shared" si="324"/>
        <v>0</v>
      </c>
      <c r="CA198" s="123"/>
      <c r="CB198" s="123">
        <f t="shared" si="325"/>
        <v>0</v>
      </c>
      <c r="CC198" s="123"/>
      <c r="CD198" s="123">
        <f t="shared" si="326"/>
        <v>0</v>
      </c>
      <c r="CE198" s="123"/>
      <c r="CF198" s="123">
        <f t="shared" si="327"/>
        <v>0</v>
      </c>
      <c r="CG198" s="132"/>
      <c r="CH198" s="123">
        <f t="shared" si="328"/>
        <v>0</v>
      </c>
      <c r="CI198" s="123"/>
      <c r="CJ198" s="127">
        <f t="shared" ref="CJ198:CJ205" si="335">(CI198*$E198*$G198*$H198*$N198*CJ$11)</f>
        <v>0</v>
      </c>
      <c r="CK198" s="123"/>
      <c r="CL198" s="123">
        <f t="shared" si="329"/>
        <v>0</v>
      </c>
      <c r="CM198" s="130"/>
      <c r="CN198" s="123">
        <f t="shared" si="330"/>
        <v>0</v>
      </c>
      <c r="CO198" s="123"/>
      <c r="CP198" s="123">
        <f t="shared" si="331"/>
        <v>0</v>
      </c>
      <c r="CQ198" s="123"/>
      <c r="CR198" s="123">
        <f t="shared" si="332"/>
        <v>0</v>
      </c>
      <c r="CS198" s="123"/>
      <c r="CT198" s="133">
        <f t="shared" si="333"/>
        <v>0</v>
      </c>
      <c r="CU198" s="127"/>
      <c r="CV198" s="123">
        <f t="shared" si="334"/>
        <v>0</v>
      </c>
      <c r="CW198" s="126">
        <f t="shared" si="294"/>
        <v>0</v>
      </c>
      <c r="CX198" s="126">
        <f t="shared" si="294"/>
        <v>0</v>
      </c>
    </row>
    <row r="199" spans="1:102" ht="15.75" customHeight="1" x14ac:dyDescent="0.25">
      <c r="A199" s="91"/>
      <c r="B199" s="116">
        <v>167</v>
      </c>
      <c r="C199" s="160" t="s">
        <v>487</v>
      </c>
      <c r="D199" s="161" t="s">
        <v>488</v>
      </c>
      <c r="E199" s="95">
        <v>28004</v>
      </c>
      <c r="F199" s="96">
        <v>29405</v>
      </c>
      <c r="G199" s="119">
        <v>1.1399999999999999</v>
      </c>
      <c r="H199" s="107">
        <v>1</v>
      </c>
      <c r="I199" s="108"/>
      <c r="J199" s="108"/>
      <c r="K199" s="108"/>
      <c r="L199" s="63"/>
      <c r="M199" s="120">
        <v>1.4</v>
      </c>
      <c r="N199" s="120">
        <v>1.68</v>
      </c>
      <c r="O199" s="120">
        <v>2.23</v>
      </c>
      <c r="P199" s="121">
        <v>2.57</v>
      </c>
      <c r="Q199" s="122">
        <v>0</v>
      </c>
      <c r="R199" s="123">
        <f t="shared" si="297"/>
        <v>0</v>
      </c>
      <c r="S199" s="124"/>
      <c r="T199" s="125">
        <f t="shared" si="298"/>
        <v>0</v>
      </c>
      <c r="U199" s="123"/>
      <c r="V199" s="123">
        <f t="shared" si="299"/>
        <v>0</v>
      </c>
      <c r="W199" s="123"/>
      <c r="X199" s="126">
        <f t="shared" si="300"/>
        <v>0</v>
      </c>
      <c r="Y199" s="123">
        <v>6</v>
      </c>
      <c r="Z199" s="123">
        <f t="shared" si="301"/>
        <v>374659.16459999996</v>
      </c>
      <c r="AA199" s="123"/>
      <c r="AB199" s="123">
        <f t="shared" si="302"/>
        <v>0</v>
      </c>
      <c r="AC199" s="123"/>
      <c r="AD199" s="123"/>
      <c r="AE199" s="123"/>
      <c r="AF199" s="123">
        <f t="shared" si="303"/>
        <v>0</v>
      </c>
      <c r="AG199" s="123">
        <v>0</v>
      </c>
      <c r="AH199" s="126">
        <f t="shared" si="304"/>
        <v>0</v>
      </c>
      <c r="AI199" s="123"/>
      <c r="AJ199" s="123">
        <f t="shared" si="305"/>
        <v>0</v>
      </c>
      <c r="AK199" s="123"/>
      <c r="AL199" s="123">
        <f t="shared" si="306"/>
        <v>0</v>
      </c>
      <c r="AM199" s="132">
        <v>0</v>
      </c>
      <c r="AN199" s="123">
        <f t="shared" si="307"/>
        <v>0</v>
      </c>
      <c r="AO199" s="130"/>
      <c r="AP199" s="127">
        <f t="shared" si="308"/>
        <v>0</v>
      </c>
      <c r="AQ199" s="127">
        <v>0</v>
      </c>
      <c r="AR199" s="127">
        <v>0</v>
      </c>
      <c r="AS199" s="123"/>
      <c r="AT199" s="123">
        <f t="shared" si="309"/>
        <v>0</v>
      </c>
      <c r="AU199" s="123"/>
      <c r="AV199" s="126">
        <f t="shared" si="310"/>
        <v>0</v>
      </c>
      <c r="AW199" s="123"/>
      <c r="AX199" s="123">
        <f t="shared" si="311"/>
        <v>0</v>
      </c>
      <c r="AY199" s="123">
        <v>0</v>
      </c>
      <c r="AZ199" s="123">
        <f t="shared" si="312"/>
        <v>0</v>
      </c>
      <c r="BA199" s="123"/>
      <c r="BB199" s="123">
        <f t="shared" si="313"/>
        <v>0</v>
      </c>
      <c r="BC199" s="123"/>
      <c r="BD199" s="126">
        <f t="shared" si="271"/>
        <v>0</v>
      </c>
      <c r="BE199" s="123"/>
      <c r="BF199" s="123">
        <f t="shared" si="314"/>
        <v>0</v>
      </c>
      <c r="BG199" s="123"/>
      <c r="BH199" s="123">
        <f t="shared" si="315"/>
        <v>0</v>
      </c>
      <c r="BI199" s="123"/>
      <c r="BJ199" s="126">
        <f t="shared" si="316"/>
        <v>0</v>
      </c>
      <c r="BK199" s="123"/>
      <c r="BL199" s="127">
        <f t="shared" si="317"/>
        <v>0</v>
      </c>
      <c r="BM199" s="123"/>
      <c r="BN199" s="123">
        <f t="shared" si="318"/>
        <v>0</v>
      </c>
      <c r="BO199" s="123"/>
      <c r="BP199" s="123">
        <f t="shared" si="319"/>
        <v>0</v>
      </c>
      <c r="BQ199" s="123"/>
      <c r="BR199" s="123">
        <f t="shared" si="320"/>
        <v>0</v>
      </c>
      <c r="BS199" s="123"/>
      <c r="BT199" s="123">
        <f t="shared" si="321"/>
        <v>0</v>
      </c>
      <c r="BU199" s="123"/>
      <c r="BV199" s="126">
        <f t="shared" si="322"/>
        <v>0</v>
      </c>
      <c r="BW199" s="123"/>
      <c r="BX199" s="123">
        <f t="shared" si="323"/>
        <v>0</v>
      </c>
      <c r="BY199" s="123"/>
      <c r="BZ199" s="123">
        <f t="shared" si="324"/>
        <v>0</v>
      </c>
      <c r="CA199" s="123"/>
      <c r="CB199" s="123">
        <f t="shared" si="325"/>
        <v>0</v>
      </c>
      <c r="CC199" s="123"/>
      <c r="CD199" s="123">
        <f t="shared" si="326"/>
        <v>0</v>
      </c>
      <c r="CE199" s="123"/>
      <c r="CF199" s="123">
        <f t="shared" si="327"/>
        <v>0</v>
      </c>
      <c r="CG199" s="132"/>
      <c r="CH199" s="123">
        <f t="shared" si="328"/>
        <v>0</v>
      </c>
      <c r="CI199" s="123"/>
      <c r="CJ199" s="127">
        <f t="shared" si="335"/>
        <v>0</v>
      </c>
      <c r="CK199" s="123"/>
      <c r="CL199" s="123">
        <f t="shared" si="329"/>
        <v>0</v>
      </c>
      <c r="CM199" s="130"/>
      <c r="CN199" s="123">
        <f t="shared" si="330"/>
        <v>0</v>
      </c>
      <c r="CO199" s="123"/>
      <c r="CP199" s="123">
        <f t="shared" si="331"/>
        <v>0</v>
      </c>
      <c r="CQ199" s="123"/>
      <c r="CR199" s="123">
        <f t="shared" si="332"/>
        <v>0</v>
      </c>
      <c r="CS199" s="123"/>
      <c r="CT199" s="133">
        <f t="shared" si="333"/>
        <v>0</v>
      </c>
      <c r="CU199" s="127"/>
      <c r="CV199" s="123">
        <f t="shared" si="334"/>
        <v>0</v>
      </c>
      <c r="CW199" s="126">
        <f t="shared" si="294"/>
        <v>6</v>
      </c>
      <c r="CX199" s="126">
        <f t="shared" si="294"/>
        <v>374659.16459999996</v>
      </c>
    </row>
    <row r="200" spans="1:102" ht="15.75" customHeight="1" x14ac:dyDescent="0.25">
      <c r="A200" s="91"/>
      <c r="B200" s="116">
        <v>168</v>
      </c>
      <c r="C200" s="160" t="s">
        <v>489</v>
      </c>
      <c r="D200" s="161" t="s">
        <v>490</v>
      </c>
      <c r="E200" s="95">
        <v>28004</v>
      </c>
      <c r="F200" s="96">
        <v>29405</v>
      </c>
      <c r="G200" s="119">
        <v>2.46</v>
      </c>
      <c r="H200" s="107">
        <v>1</v>
      </c>
      <c r="I200" s="108"/>
      <c r="J200" s="108"/>
      <c r="K200" s="108"/>
      <c r="L200" s="63"/>
      <c r="M200" s="120">
        <v>1.4</v>
      </c>
      <c r="N200" s="120">
        <v>1.68</v>
      </c>
      <c r="O200" s="120">
        <v>2.23</v>
      </c>
      <c r="P200" s="121">
        <v>2.57</v>
      </c>
      <c r="Q200" s="122">
        <v>0</v>
      </c>
      <c r="R200" s="123">
        <f t="shared" si="297"/>
        <v>0</v>
      </c>
      <c r="S200" s="124"/>
      <c r="T200" s="125">
        <f t="shared" si="298"/>
        <v>0</v>
      </c>
      <c r="U200" s="123"/>
      <c r="V200" s="123">
        <f t="shared" si="299"/>
        <v>0</v>
      </c>
      <c r="W200" s="123"/>
      <c r="X200" s="126">
        <f t="shared" si="300"/>
        <v>0</v>
      </c>
      <c r="Y200" s="123">
        <f>12+20</f>
        <v>32</v>
      </c>
      <c r="Z200" s="123">
        <f t="shared" si="301"/>
        <v>4311866.8767999997</v>
      </c>
      <c r="AA200" s="123"/>
      <c r="AB200" s="123">
        <f t="shared" si="302"/>
        <v>0</v>
      </c>
      <c r="AC200" s="123"/>
      <c r="AD200" s="123"/>
      <c r="AE200" s="123"/>
      <c r="AF200" s="123">
        <f t="shared" si="303"/>
        <v>0</v>
      </c>
      <c r="AG200" s="123">
        <v>0</v>
      </c>
      <c r="AH200" s="126">
        <f t="shared" si="304"/>
        <v>0</v>
      </c>
      <c r="AI200" s="123"/>
      <c r="AJ200" s="123">
        <f t="shared" si="305"/>
        <v>0</v>
      </c>
      <c r="AK200" s="123"/>
      <c r="AL200" s="123">
        <f t="shared" si="306"/>
        <v>0</v>
      </c>
      <c r="AM200" s="132">
        <v>0</v>
      </c>
      <c r="AN200" s="123">
        <f t="shared" si="307"/>
        <v>0</v>
      </c>
      <c r="AO200" s="130"/>
      <c r="AP200" s="127">
        <f t="shared" si="308"/>
        <v>0</v>
      </c>
      <c r="AQ200" s="127">
        <v>0</v>
      </c>
      <c r="AR200" s="127">
        <v>0</v>
      </c>
      <c r="AS200" s="123"/>
      <c r="AT200" s="123">
        <f t="shared" si="309"/>
        <v>0</v>
      </c>
      <c r="AU200" s="123"/>
      <c r="AV200" s="126">
        <f t="shared" si="310"/>
        <v>0</v>
      </c>
      <c r="AW200" s="123"/>
      <c r="AX200" s="123">
        <f t="shared" si="311"/>
        <v>0</v>
      </c>
      <c r="AY200" s="123">
        <v>0</v>
      </c>
      <c r="AZ200" s="123">
        <f t="shared" si="312"/>
        <v>0</v>
      </c>
      <c r="BA200" s="123"/>
      <c r="BB200" s="123">
        <f t="shared" si="313"/>
        <v>0</v>
      </c>
      <c r="BC200" s="123"/>
      <c r="BD200" s="126">
        <f t="shared" si="271"/>
        <v>0</v>
      </c>
      <c r="BE200" s="123"/>
      <c r="BF200" s="123">
        <f t="shared" si="314"/>
        <v>0</v>
      </c>
      <c r="BG200" s="123"/>
      <c r="BH200" s="123">
        <f t="shared" si="315"/>
        <v>0</v>
      </c>
      <c r="BI200" s="123"/>
      <c r="BJ200" s="126">
        <f t="shared" si="316"/>
        <v>0</v>
      </c>
      <c r="BK200" s="123"/>
      <c r="BL200" s="127">
        <f t="shared" si="317"/>
        <v>0</v>
      </c>
      <c r="BM200" s="123"/>
      <c r="BN200" s="123">
        <f t="shared" si="318"/>
        <v>0</v>
      </c>
      <c r="BO200" s="123"/>
      <c r="BP200" s="123">
        <f t="shared" si="319"/>
        <v>0</v>
      </c>
      <c r="BQ200" s="123"/>
      <c r="BR200" s="123">
        <f t="shared" si="320"/>
        <v>0</v>
      </c>
      <c r="BS200" s="123"/>
      <c r="BT200" s="123">
        <f t="shared" si="321"/>
        <v>0</v>
      </c>
      <c r="BU200" s="123"/>
      <c r="BV200" s="126">
        <f t="shared" si="322"/>
        <v>0</v>
      </c>
      <c r="BW200" s="123"/>
      <c r="BX200" s="123">
        <f t="shared" si="323"/>
        <v>0</v>
      </c>
      <c r="BY200" s="123"/>
      <c r="BZ200" s="123">
        <f t="shared" si="324"/>
        <v>0</v>
      </c>
      <c r="CA200" s="123"/>
      <c r="CB200" s="123">
        <f t="shared" si="325"/>
        <v>0</v>
      </c>
      <c r="CC200" s="123"/>
      <c r="CD200" s="123">
        <f t="shared" si="326"/>
        <v>0</v>
      </c>
      <c r="CE200" s="123"/>
      <c r="CF200" s="123">
        <f t="shared" si="327"/>
        <v>0</v>
      </c>
      <c r="CG200" s="132"/>
      <c r="CH200" s="123">
        <f t="shared" si="328"/>
        <v>0</v>
      </c>
      <c r="CI200" s="123"/>
      <c r="CJ200" s="127">
        <f t="shared" si="335"/>
        <v>0</v>
      </c>
      <c r="CK200" s="123"/>
      <c r="CL200" s="123">
        <f t="shared" si="329"/>
        <v>0</v>
      </c>
      <c r="CM200" s="130"/>
      <c r="CN200" s="123">
        <f t="shared" si="330"/>
        <v>0</v>
      </c>
      <c r="CO200" s="123"/>
      <c r="CP200" s="123">
        <f t="shared" si="331"/>
        <v>0</v>
      </c>
      <c r="CQ200" s="123"/>
      <c r="CR200" s="123">
        <f t="shared" si="332"/>
        <v>0</v>
      </c>
      <c r="CS200" s="123"/>
      <c r="CT200" s="133">
        <f t="shared" si="333"/>
        <v>0</v>
      </c>
      <c r="CU200" s="127"/>
      <c r="CV200" s="123">
        <f t="shared" si="334"/>
        <v>0</v>
      </c>
      <c r="CW200" s="126">
        <f t="shared" si="294"/>
        <v>32</v>
      </c>
      <c r="CX200" s="126">
        <f t="shared" si="294"/>
        <v>4311866.8767999997</v>
      </c>
    </row>
    <row r="201" spans="1:102" ht="15.75" customHeight="1" x14ac:dyDescent="0.25">
      <c r="A201" s="91"/>
      <c r="B201" s="116">
        <v>169</v>
      </c>
      <c r="C201" s="160" t="s">
        <v>491</v>
      </c>
      <c r="D201" s="118" t="s">
        <v>492</v>
      </c>
      <c r="E201" s="95">
        <v>28004</v>
      </c>
      <c r="F201" s="96">
        <v>29405</v>
      </c>
      <c r="G201" s="152">
        <v>2.5099999999999998</v>
      </c>
      <c r="H201" s="107">
        <v>1</v>
      </c>
      <c r="I201" s="108"/>
      <c r="J201" s="108"/>
      <c r="K201" s="108"/>
      <c r="L201" s="63"/>
      <c r="M201" s="213">
        <v>1.4</v>
      </c>
      <c r="N201" s="213">
        <v>1.68</v>
      </c>
      <c r="O201" s="213">
        <v>2.23</v>
      </c>
      <c r="P201" s="214">
        <v>2.57</v>
      </c>
      <c r="Q201" s="122">
        <v>0</v>
      </c>
      <c r="R201" s="123">
        <f t="shared" si="297"/>
        <v>0</v>
      </c>
      <c r="S201" s="124"/>
      <c r="T201" s="125">
        <f t="shared" si="298"/>
        <v>0</v>
      </c>
      <c r="U201" s="123"/>
      <c r="V201" s="123">
        <f t="shared" si="299"/>
        <v>0</v>
      </c>
      <c r="W201" s="123"/>
      <c r="X201" s="126">
        <f t="shared" si="300"/>
        <v>0</v>
      </c>
      <c r="Y201" s="123">
        <f>48+2</f>
        <v>50</v>
      </c>
      <c r="Z201" s="123">
        <f t="shared" si="301"/>
        <v>6874228.8241666676</v>
      </c>
      <c r="AA201" s="123"/>
      <c r="AB201" s="123">
        <f t="shared" si="302"/>
        <v>0</v>
      </c>
      <c r="AC201" s="123"/>
      <c r="AD201" s="123"/>
      <c r="AE201" s="123"/>
      <c r="AF201" s="123">
        <f t="shared" si="303"/>
        <v>0</v>
      </c>
      <c r="AG201" s="123">
        <v>0</v>
      </c>
      <c r="AH201" s="126">
        <f t="shared" si="304"/>
        <v>0</v>
      </c>
      <c r="AI201" s="123"/>
      <c r="AJ201" s="123">
        <f t="shared" si="305"/>
        <v>0</v>
      </c>
      <c r="AK201" s="123"/>
      <c r="AL201" s="123">
        <f t="shared" si="306"/>
        <v>0</v>
      </c>
      <c r="AM201" s="132">
        <v>0</v>
      </c>
      <c r="AN201" s="123">
        <f t="shared" si="307"/>
        <v>0</v>
      </c>
      <c r="AO201" s="130"/>
      <c r="AP201" s="127">
        <f t="shared" si="308"/>
        <v>0</v>
      </c>
      <c r="AQ201" s="127">
        <v>0</v>
      </c>
      <c r="AR201" s="127">
        <v>0</v>
      </c>
      <c r="AS201" s="123"/>
      <c r="AT201" s="123">
        <f t="shared" si="309"/>
        <v>0</v>
      </c>
      <c r="AU201" s="123"/>
      <c r="AV201" s="126">
        <f t="shared" si="310"/>
        <v>0</v>
      </c>
      <c r="AW201" s="123"/>
      <c r="AX201" s="123">
        <f t="shared" si="311"/>
        <v>0</v>
      </c>
      <c r="AY201" s="123">
        <v>0</v>
      </c>
      <c r="AZ201" s="123">
        <f t="shared" si="312"/>
        <v>0</v>
      </c>
      <c r="BA201" s="123"/>
      <c r="BB201" s="123">
        <f t="shared" si="313"/>
        <v>0</v>
      </c>
      <c r="BC201" s="123"/>
      <c r="BD201" s="126">
        <f t="shared" si="271"/>
        <v>0</v>
      </c>
      <c r="BE201" s="123"/>
      <c r="BF201" s="123">
        <f t="shared" si="314"/>
        <v>0</v>
      </c>
      <c r="BG201" s="123"/>
      <c r="BH201" s="123">
        <f t="shared" si="315"/>
        <v>0</v>
      </c>
      <c r="BI201" s="123"/>
      <c r="BJ201" s="126">
        <f t="shared" si="316"/>
        <v>0</v>
      </c>
      <c r="BK201" s="123"/>
      <c r="BL201" s="127">
        <f t="shared" si="317"/>
        <v>0</v>
      </c>
      <c r="BM201" s="123"/>
      <c r="BN201" s="123">
        <f t="shared" si="318"/>
        <v>0</v>
      </c>
      <c r="BO201" s="123"/>
      <c r="BP201" s="123">
        <f t="shared" si="319"/>
        <v>0</v>
      </c>
      <c r="BQ201" s="123"/>
      <c r="BR201" s="123">
        <f t="shared" si="320"/>
        <v>0</v>
      </c>
      <c r="BS201" s="123"/>
      <c r="BT201" s="123">
        <f t="shared" si="321"/>
        <v>0</v>
      </c>
      <c r="BU201" s="123"/>
      <c r="BV201" s="126">
        <f t="shared" si="322"/>
        <v>0</v>
      </c>
      <c r="BW201" s="123"/>
      <c r="BX201" s="123">
        <f t="shared" si="323"/>
        <v>0</v>
      </c>
      <c r="BY201" s="123"/>
      <c r="BZ201" s="123">
        <f>(BY201/12*2*$E201*$G201*$H201*$M201*$BZ$11)+(BY201/12*10*$F201*$G201*$H201*$M201*$BZ$11)</f>
        <v>0</v>
      </c>
      <c r="CA201" s="123"/>
      <c r="CB201" s="123">
        <f t="shared" si="325"/>
        <v>0</v>
      </c>
      <c r="CC201" s="123"/>
      <c r="CD201" s="123">
        <f t="shared" si="326"/>
        <v>0</v>
      </c>
      <c r="CE201" s="123"/>
      <c r="CF201" s="123">
        <f t="shared" si="327"/>
        <v>0</v>
      </c>
      <c r="CG201" s="132"/>
      <c r="CH201" s="123">
        <f>(CG201/12*2*$E201*$G201*$H201*$N201*$CH$11)+(CG201/12*10*$F201*$G201*$H201*$N201*$CH$11)</f>
        <v>0</v>
      </c>
      <c r="CI201" s="123"/>
      <c r="CJ201" s="127">
        <f t="shared" si="335"/>
        <v>0</v>
      </c>
      <c r="CK201" s="123"/>
      <c r="CL201" s="123">
        <f t="shared" si="329"/>
        <v>0</v>
      </c>
      <c r="CM201" s="130"/>
      <c r="CN201" s="123">
        <f t="shared" si="330"/>
        <v>0</v>
      </c>
      <c r="CO201" s="123"/>
      <c r="CP201" s="123">
        <f t="shared" si="331"/>
        <v>0</v>
      </c>
      <c r="CQ201" s="123"/>
      <c r="CR201" s="123">
        <f t="shared" si="332"/>
        <v>0</v>
      </c>
      <c r="CS201" s="123"/>
      <c r="CT201" s="133">
        <f t="shared" si="333"/>
        <v>0</v>
      </c>
      <c r="CU201" s="127"/>
      <c r="CV201" s="123">
        <f t="shared" si="334"/>
        <v>0</v>
      </c>
      <c r="CW201" s="126">
        <f t="shared" si="294"/>
        <v>50</v>
      </c>
      <c r="CX201" s="126">
        <f t="shared" si="294"/>
        <v>6874228.8241666676</v>
      </c>
    </row>
    <row r="202" spans="1:102" ht="15.75" customHeight="1" x14ac:dyDescent="0.25">
      <c r="A202" s="91"/>
      <c r="B202" s="116">
        <v>170</v>
      </c>
      <c r="C202" s="160" t="s">
        <v>493</v>
      </c>
      <c r="D202" s="118" t="s">
        <v>494</v>
      </c>
      <c r="E202" s="95">
        <v>28004</v>
      </c>
      <c r="F202" s="96">
        <v>29405</v>
      </c>
      <c r="G202" s="152">
        <v>2.82</v>
      </c>
      <c r="H202" s="107">
        <v>1</v>
      </c>
      <c r="I202" s="108"/>
      <c r="J202" s="108"/>
      <c r="K202" s="108"/>
      <c r="L202" s="63"/>
      <c r="M202" s="213">
        <v>1.4</v>
      </c>
      <c r="N202" s="213">
        <v>1.68</v>
      </c>
      <c r="O202" s="213">
        <v>2.23</v>
      </c>
      <c r="P202" s="214">
        <v>2.57</v>
      </c>
      <c r="Q202" s="122">
        <v>0</v>
      </c>
      <c r="R202" s="123">
        <f t="shared" si="297"/>
        <v>0</v>
      </c>
      <c r="S202" s="124"/>
      <c r="T202" s="125">
        <f t="shared" si="298"/>
        <v>0</v>
      </c>
      <c r="U202" s="123"/>
      <c r="V202" s="123">
        <f t="shared" si="299"/>
        <v>0</v>
      </c>
      <c r="W202" s="123"/>
      <c r="X202" s="126">
        <f t="shared" si="300"/>
        <v>0</v>
      </c>
      <c r="Y202" s="123">
        <f>79+51</f>
        <v>130</v>
      </c>
      <c r="Z202" s="123">
        <f t="shared" si="301"/>
        <v>20080416.629000001</v>
      </c>
      <c r="AA202" s="123"/>
      <c r="AB202" s="123">
        <f t="shared" si="302"/>
        <v>0</v>
      </c>
      <c r="AC202" s="123"/>
      <c r="AD202" s="123"/>
      <c r="AE202" s="123"/>
      <c r="AF202" s="123">
        <f t="shared" si="303"/>
        <v>0</v>
      </c>
      <c r="AG202" s="123">
        <v>0</v>
      </c>
      <c r="AH202" s="126">
        <f t="shared" si="304"/>
        <v>0</v>
      </c>
      <c r="AI202" s="123"/>
      <c r="AJ202" s="123">
        <f t="shared" si="305"/>
        <v>0</v>
      </c>
      <c r="AK202" s="123"/>
      <c r="AL202" s="123">
        <f t="shared" si="306"/>
        <v>0</v>
      </c>
      <c r="AM202" s="132">
        <v>0</v>
      </c>
      <c r="AN202" s="123">
        <f t="shared" si="307"/>
        <v>0</v>
      </c>
      <c r="AO202" s="130"/>
      <c r="AP202" s="127">
        <f t="shared" si="308"/>
        <v>0</v>
      </c>
      <c r="AQ202" s="127">
        <v>0</v>
      </c>
      <c r="AR202" s="127">
        <v>0</v>
      </c>
      <c r="AS202" s="123"/>
      <c r="AT202" s="123">
        <f t="shared" si="309"/>
        <v>0</v>
      </c>
      <c r="AU202" s="123"/>
      <c r="AV202" s="126">
        <f t="shared" si="310"/>
        <v>0</v>
      </c>
      <c r="AW202" s="123"/>
      <c r="AX202" s="123">
        <f t="shared" si="311"/>
        <v>0</v>
      </c>
      <c r="AY202" s="123">
        <v>0</v>
      </c>
      <c r="AZ202" s="123">
        <f t="shared" si="312"/>
        <v>0</v>
      </c>
      <c r="BA202" s="123"/>
      <c r="BB202" s="123">
        <f t="shared" si="313"/>
        <v>0</v>
      </c>
      <c r="BC202" s="123"/>
      <c r="BD202" s="126">
        <f t="shared" si="271"/>
        <v>0</v>
      </c>
      <c r="BE202" s="123"/>
      <c r="BF202" s="123">
        <f t="shared" si="314"/>
        <v>0</v>
      </c>
      <c r="BG202" s="123"/>
      <c r="BH202" s="123">
        <f t="shared" si="315"/>
        <v>0</v>
      </c>
      <c r="BI202" s="123"/>
      <c r="BJ202" s="126">
        <f t="shared" si="316"/>
        <v>0</v>
      </c>
      <c r="BK202" s="123"/>
      <c r="BL202" s="127">
        <f t="shared" si="317"/>
        <v>0</v>
      </c>
      <c r="BM202" s="123"/>
      <c r="BN202" s="123">
        <f t="shared" si="318"/>
        <v>0</v>
      </c>
      <c r="BO202" s="123"/>
      <c r="BP202" s="123">
        <f t="shared" si="319"/>
        <v>0</v>
      </c>
      <c r="BQ202" s="123"/>
      <c r="BR202" s="123">
        <f t="shared" si="320"/>
        <v>0</v>
      </c>
      <c r="BS202" s="123"/>
      <c r="BT202" s="123">
        <f t="shared" si="321"/>
        <v>0</v>
      </c>
      <c r="BU202" s="123"/>
      <c r="BV202" s="126">
        <f t="shared" si="322"/>
        <v>0</v>
      </c>
      <c r="BW202" s="123"/>
      <c r="BX202" s="123">
        <f t="shared" si="323"/>
        <v>0</v>
      </c>
      <c r="BY202" s="123"/>
      <c r="BZ202" s="123">
        <f t="shared" si="324"/>
        <v>0</v>
      </c>
      <c r="CA202" s="123"/>
      <c r="CB202" s="123">
        <f t="shared" si="325"/>
        <v>0</v>
      </c>
      <c r="CC202" s="123"/>
      <c r="CD202" s="123">
        <f t="shared" si="326"/>
        <v>0</v>
      </c>
      <c r="CE202" s="123"/>
      <c r="CF202" s="123">
        <f t="shared" si="327"/>
        <v>0</v>
      </c>
      <c r="CG202" s="132"/>
      <c r="CH202" s="123">
        <f t="shared" si="328"/>
        <v>0</v>
      </c>
      <c r="CI202" s="123"/>
      <c r="CJ202" s="127">
        <f t="shared" si="335"/>
        <v>0</v>
      </c>
      <c r="CK202" s="123"/>
      <c r="CL202" s="123">
        <f t="shared" si="329"/>
        <v>0</v>
      </c>
      <c r="CM202" s="130"/>
      <c r="CN202" s="123">
        <f t="shared" si="330"/>
        <v>0</v>
      </c>
      <c r="CO202" s="123"/>
      <c r="CP202" s="123">
        <f t="shared" si="331"/>
        <v>0</v>
      </c>
      <c r="CQ202" s="123"/>
      <c r="CR202" s="123">
        <f t="shared" si="332"/>
        <v>0</v>
      </c>
      <c r="CS202" s="123"/>
      <c r="CT202" s="133">
        <f t="shared" si="333"/>
        <v>0</v>
      </c>
      <c r="CU202" s="127"/>
      <c r="CV202" s="123">
        <f t="shared" si="334"/>
        <v>0</v>
      </c>
      <c r="CW202" s="126">
        <f t="shared" si="294"/>
        <v>130</v>
      </c>
      <c r="CX202" s="126">
        <f t="shared" si="294"/>
        <v>20080416.629000001</v>
      </c>
    </row>
    <row r="203" spans="1:102" ht="15.75" customHeight="1" x14ac:dyDescent="0.25">
      <c r="A203" s="91"/>
      <c r="B203" s="116">
        <v>171</v>
      </c>
      <c r="C203" s="160" t="s">
        <v>495</v>
      </c>
      <c r="D203" s="118" t="s">
        <v>496</v>
      </c>
      <c r="E203" s="95">
        <v>28004</v>
      </c>
      <c r="F203" s="96">
        <v>29405</v>
      </c>
      <c r="G203" s="152">
        <v>4.51</v>
      </c>
      <c r="H203" s="107">
        <v>1</v>
      </c>
      <c r="I203" s="108"/>
      <c r="J203" s="108"/>
      <c r="K203" s="108"/>
      <c r="L203" s="63"/>
      <c r="M203" s="213">
        <v>1.4</v>
      </c>
      <c r="N203" s="213">
        <v>1.68</v>
      </c>
      <c r="O203" s="213">
        <v>2.23</v>
      </c>
      <c r="P203" s="214">
        <v>2.57</v>
      </c>
      <c r="Q203" s="122">
        <v>0</v>
      </c>
      <c r="R203" s="123">
        <f t="shared" si="297"/>
        <v>0</v>
      </c>
      <c r="S203" s="124"/>
      <c r="T203" s="125">
        <f t="shared" si="298"/>
        <v>0</v>
      </c>
      <c r="U203" s="123"/>
      <c r="V203" s="123">
        <f t="shared" si="299"/>
        <v>0</v>
      </c>
      <c r="W203" s="123"/>
      <c r="X203" s="126">
        <f t="shared" si="300"/>
        <v>0</v>
      </c>
      <c r="Y203" s="123">
        <v>14</v>
      </c>
      <c r="Z203" s="123">
        <f t="shared" si="301"/>
        <v>3458476.5574333342</v>
      </c>
      <c r="AA203" s="123"/>
      <c r="AB203" s="123">
        <f t="shared" si="302"/>
        <v>0</v>
      </c>
      <c r="AC203" s="123"/>
      <c r="AD203" s="123"/>
      <c r="AE203" s="123"/>
      <c r="AF203" s="123">
        <f t="shared" si="303"/>
        <v>0</v>
      </c>
      <c r="AG203" s="123">
        <v>0</v>
      </c>
      <c r="AH203" s="126">
        <f t="shared" si="304"/>
        <v>0</v>
      </c>
      <c r="AI203" s="123"/>
      <c r="AJ203" s="123">
        <f t="shared" si="305"/>
        <v>0</v>
      </c>
      <c r="AK203" s="123"/>
      <c r="AL203" s="123">
        <f t="shared" si="306"/>
        <v>0</v>
      </c>
      <c r="AM203" s="132">
        <v>0</v>
      </c>
      <c r="AN203" s="123">
        <f t="shared" si="307"/>
        <v>0</v>
      </c>
      <c r="AO203" s="130"/>
      <c r="AP203" s="127">
        <f t="shared" si="308"/>
        <v>0</v>
      </c>
      <c r="AQ203" s="127">
        <v>0</v>
      </c>
      <c r="AR203" s="127">
        <v>0</v>
      </c>
      <c r="AS203" s="123"/>
      <c r="AT203" s="123">
        <f t="shared" si="309"/>
        <v>0</v>
      </c>
      <c r="AU203" s="123"/>
      <c r="AV203" s="126">
        <f t="shared" si="310"/>
        <v>0</v>
      </c>
      <c r="AW203" s="123"/>
      <c r="AX203" s="123">
        <f t="shared" si="311"/>
        <v>0</v>
      </c>
      <c r="AY203" s="123">
        <v>0</v>
      </c>
      <c r="AZ203" s="123">
        <f t="shared" si="312"/>
        <v>0</v>
      </c>
      <c r="BA203" s="123"/>
      <c r="BB203" s="123">
        <f t="shared" si="313"/>
        <v>0</v>
      </c>
      <c r="BC203" s="123"/>
      <c r="BD203" s="126">
        <f t="shared" si="271"/>
        <v>0</v>
      </c>
      <c r="BE203" s="123"/>
      <c r="BF203" s="123">
        <f t="shared" si="314"/>
        <v>0</v>
      </c>
      <c r="BG203" s="123"/>
      <c r="BH203" s="123">
        <f t="shared" si="315"/>
        <v>0</v>
      </c>
      <c r="BI203" s="123"/>
      <c r="BJ203" s="126">
        <f t="shared" si="316"/>
        <v>0</v>
      </c>
      <c r="BK203" s="123"/>
      <c r="BL203" s="127">
        <f t="shared" si="317"/>
        <v>0</v>
      </c>
      <c r="BM203" s="123"/>
      <c r="BN203" s="123">
        <f t="shared" si="318"/>
        <v>0</v>
      </c>
      <c r="BO203" s="123"/>
      <c r="BP203" s="123">
        <f t="shared" si="319"/>
        <v>0</v>
      </c>
      <c r="BQ203" s="123"/>
      <c r="BR203" s="123">
        <f t="shared" si="320"/>
        <v>0</v>
      </c>
      <c r="BS203" s="123"/>
      <c r="BT203" s="123">
        <f t="shared" si="321"/>
        <v>0</v>
      </c>
      <c r="BU203" s="123"/>
      <c r="BV203" s="126">
        <f t="shared" si="322"/>
        <v>0</v>
      </c>
      <c r="BW203" s="123"/>
      <c r="BX203" s="123">
        <f t="shared" si="323"/>
        <v>0</v>
      </c>
      <c r="BY203" s="123"/>
      <c r="BZ203" s="123">
        <f t="shared" si="324"/>
        <v>0</v>
      </c>
      <c r="CA203" s="123"/>
      <c r="CB203" s="123">
        <f t="shared" si="325"/>
        <v>0</v>
      </c>
      <c r="CC203" s="123"/>
      <c r="CD203" s="123">
        <f t="shared" si="326"/>
        <v>0</v>
      </c>
      <c r="CE203" s="123"/>
      <c r="CF203" s="123">
        <f t="shared" si="327"/>
        <v>0</v>
      </c>
      <c r="CG203" s="132"/>
      <c r="CH203" s="123">
        <f t="shared" si="328"/>
        <v>0</v>
      </c>
      <c r="CI203" s="123"/>
      <c r="CJ203" s="127">
        <f t="shared" si="335"/>
        <v>0</v>
      </c>
      <c r="CK203" s="123"/>
      <c r="CL203" s="123">
        <f t="shared" si="329"/>
        <v>0</v>
      </c>
      <c r="CM203" s="130"/>
      <c r="CN203" s="123">
        <f t="shared" si="330"/>
        <v>0</v>
      </c>
      <c r="CO203" s="123"/>
      <c r="CP203" s="123">
        <f t="shared" si="331"/>
        <v>0</v>
      </c>
      <c r="CQ203" s="123"/>
      <c r="CR203" s="123">
        <f t="shared" si="332"/>
        <v>0</v>
      </c>
      <c r="CS203" s="123"/>
      <c r="CT203" s="133">
        <f t="shared" si="333"/>
        <v>0</v>
      </c>
      <c r="CU203" s="127"/>
      <c r="CV203" s="123">
        <f t="shared" si="334"/>
        <v>0</v>
      </c>
      <c r="CW203" s="126">
        <f t="shared" si="294"/>
        <v>14</v>
      </c>
      <c r="CX203" s="126">
        <f t="shared" si="294"/>
        <v>3458476.5574333342</v>
      </c>
    </row>
    <row r="204" spans="1:102" ht="15.75" customHeight="1" x14ac:dyDescent="0.25">
      <c r="A204" s="91"/>
      <c r="B204" s="116">
        <v>172</v>
      </c>
      <c r="C204" s="160" t="s">
        <v>497</v>
      </c>
      <c r="D204" s="118" t="s">
        <v>498</v>
      </c>
      <c r="E204" s="95">
        <v>28004</v>
      </c>
      <c r="F204" s="96">
        <v>29405</v>
      </c>
      <c r="G204" s="152">
        <v>4.87</v>
      </c>
      <c r="H204" s="107">
        <v>1</v>
      </c>
      <c r="I204" s="108"/>
      <c r="J204" s="108"/>
      <c r="K204" s="108"/>
      <c r="L204" s="63"/>
      <c r="M204" s="213">
        <v>1.4</v>
      </c>
      <c r="N204" s="213">
        <v>1.68</v>
      </c>
      <c r="O204" s="213">
        <v>2.23</v>
      </c>
      <c r="P204" s="214">
        <v>2.57</v>
      </c>
      <c r="Q204" s="122">
        <v>0</v>
      </c>
      <c r="R204" s="123">
        <f t="shared" si="297"/>
        <v>0</v>
      </c>
      <c r="S204" s="124"/>
      <c r="T204" s="125">
        <f t="shared" si="298"/>
        <v>0</v>
      </c>
      <c r="U204" s="123"/>
      <c r="V204" s="123">
        <f t="shared" si="299"/>
        <v>0</v>
      </c>
      <c r="W204" s="123"/>
      <c r="X204" s="126">
        <f t="shared" si="300"/>
        <v>0</v>
      </c>
      <c r="Y204" s="123">
        <f>170-69</f>
        <v>101</v>
      </c>
      <c r="Z204" s="123">
        <f t="shared" si="301"/>
        <v>26942047.264883328</v>
      </c>
      <c r="AA204" s="123"/>
      <c r="AB204" s="123">
        <f t="shared" si="302"/>
        <v>0</v>
      </c>
      <c r="AC204" s="123"/>
      <c r="AD204" s="123"/>
      <c r="AE204" s="123"/>
      <c r="AF204" s="123">
        <f t="shared" si="303"/>
        <v>0</v>
      </c>
      <c r="AG204" s="123">
        <v>0</v>
      </c>
      <c r="AH204" s="126">
        <f t="shared" si="304"/>
        <v>0</v>
      </c>
      <c r="AI204" s="123"/>
      <c r="AJ204" s="123">
        <f t="shared" si="305"/>
        <v>0</v>
      </c>
      <c r="AK204" s="123"/>
      <c r="AL204" s="123">
        <f t="shared" si="306"/>
        <v>0</v>
      </c>
      <c r="AM204" s="132">
        <v>0</v>
      </c>
      <c r="AN204" s="123">
        <f t="shared" si="307"/>
        <v>0</v>
      </c>
      <c r="AO204" s="130"/>
      <c r="AP204" s="127">
        <f t="shared" si="308"/>
        <v>0</v>
      </c>
      <c r="AQ204" s="127">
        <v>0</v>
      </c>
      <c r="AR204" s="127">
        <v>0</v>
      </c>
      <c r="AS204" s="123"/>
      <c r="AT204" s="123">
        <f t="shared" si="309"/>
        <v>0</v>
      </c>
      <c r="AU204" s="123"/>
      <c r="AV204" s="126">
        <f t="shared" si="310"/>
        <v>0</v>
      </c>
      <c r="AW204" s="123"/>
      <c r="AX204" s="123">
        <f t="shared" si="311"/>
        <v>0</v>
      </c>
      <c r="AY204" s="123">
        <v>0</v>
      </c>
      <c r="AZ204" s="123">
        <f t="shared" si="312"/>
        <v>0</v>
      </c>
      <c r="BA204" s="123"/>
      <c r="BB204" s="123">
        <f t="shared" si="313"/>
        <v>0</v>
      </c>
      <c r="BC204" s="123"/>
      <c r="BD204" s="126">
        <f t="shared" si="271"/>
        <v>0</v>
      </c>
      <c r="BE204" s="123"/>
      <c r="BF204" s="123">
        <f t="shared" si="314"/>
        <v>0</v>
      </c>
      <c r="BG204" s="123"/>
      <c r="BH204" s="123">
        <f t="shared" si="315"/>
        <v>0</v>
      </c>
      <c r="BI204" s="123"/>
      <c r="BJ204" s="126">
        <f t="shared" si="316"/>
        <v>0</v>
      </c>
      <c r="BK204" s="123"/>
      <c r="BL204" s="127">
        <f t="shared" si="317"/>
        <v>0</v>
      </c>
      <c r="BM204" s="123"/>
      <c r="BN204" s="123">
        <f t="shared" si="318"/>
        <v>0</v>
      </c>
      <c r="BO204" s="123"/>
      <c r="BP204" s="123">
        <f t="shared" si="319"/>
        <v>0</v>
      </c>
      <c r="BQ204" s="123"/>
      <c r="BR204" s="123">
        <f t="shared" si="320"/>
        <v>0</v>
      </c>
      <c r="BS204" s="123"/>
      <c r="BT204" s="123">
        <f t="shared" si="321"/>
        <v>0</v>
      </c>
      <c r="BU204" s="123"/>
      <c r="BV204" s="126">
        <f t="shared" si="322"/>
        <v>0</v>
      </c>
      <c r="BW204" s="123"/>
      <c r="BX204" s="123">
        <f t="shared" si="323"/>
        <v>0</v>
      </c>
      <c r="BY204" s="123"/>
      <c r="BZ204" s="123">
        <f t="shared" si="324"/>
        <v>0</v>
      </c>
      <c r="CA204" s="123"/>
      <c r="CB204" s="123">
        <f t="shared" si="325"/>
        <v>0</v>
      </c>
      <c r="CC204" s="123"/>
      <c r="CD204" s="123">
        <f>(CC204/12*2*$E204*$G204*$H204*$M204*$CD$11)+(CC204/12*10*$F204*$G204*$H204*$M204*$CD$11)</f>
        <v>0</v>
      </c>
      <c r="CE204" s="123"/>
      <c r="CF204" s="123">
        <f t="shared" si="327"/>
        <v>0</v>
      </c>
      <c r="CG204" s="132"/>
      <c r="CH204" s="123">
        <f t="shared" si="328"/>
        <v>0</v>
      </c>
      <c r="CI204" s="123"/>
      <c r="CJ204" s="127">
        <f t="shared" si="335"/>
        <v>0</v>
      </c>
      <c r="CK204" s="123"/>
      <c r="CL204" s="123">
        <f t="shared" si="329"/>
        <v>0</v>
      </c>
      <c r="CM204" s="130"/>
      <c r="CN204" s="123">
        <f t="shared" si="330"/>
        <v>0</v>
      </c>
      <c r="CO204" s="123"/>
      <c r="CP204" s="123">
        <f t="shared" si="331"/>
        <v>0</v>
      </c>
      <c r="CQ204" s="123"/>
      <c r="CR204" s="123">
        <f t="shared" si="332"/>
        <v>0</v>
      </c>
      <c r="CS204" s="123"/>
      <c r="CT204" s="133">
        <f t="shared" si="333"/>
        <v>0</v>
      </c>
      <c r="CU204" s="127"/>
      <c r="CV204" s="123">
        <f t="shared" si="334"/>
        <v>0</v>
      </c>
      <c r="CW204" s="126">
        <f t="shared" si="294"/>
        <v>101</v>
      </c>
      <c r="CX204" s="126">
        <f t="shared" si="294"/>
        <v>26942047.264883328</v>
      </c>
    </row>
    <row r="205" spans="1:102" ht="20.25" customHeight="1" x14ac:dyDescent="0.25">
      <c r="A205" s="91"/>
      <c r="B205" s="116">
        <v>173</v>
      </c>
      <c r="C205" s="160" t="s">
        <v>499</v>
      </c>
      <c r="D205" s="118" t="s">
        <v>500</v>
      </c>
      <c r="E205" s="95">
        <v>28004</v>
      </c>
      <c r="F205" s="96">
        <v>29405</v>
      </c>
      <c r="G205" s="152">
        <v>14.45</v>
      </c>
      <c r="H205" s="107">
        <v>1</v>
      </c>
      <c r="I205" s="108"/>
      <c r="J205" s="108"/>
      <c r="K205" s="108"/>
      <c r="L205" s="142">
        <v>8.5800000000000001E-2</v>
      </c>
      <c r="M205" s="213">
        <v>1.4</v>
      </c>
      <c r="N205" s="213">
        <v>1.68</v>
      </c>
      <c r="O205" s="213">
        <v>2.23</v>
      </c>
      <c r="P205" s="214">
        <v>2.57</v>
      </c>
      <c r="Q205" s="122">
        <v>0</v>
      </c>
      <c r="R205" s="143">
        <f t="shared" ref="R205:R211" si="336">(Q205/12*2*$E205*$G205*((1-$L205)+$L205*$M205*$R$11*$H205))+(Q205/12*10*$F205*$G205*((1-$L205)+$L205*$M205*$R$11*$H205))</f>
        <v>0</v>
      </c>
      <c r="S205" s="124"/>
      <c r="T205" s="144">
        <f t="shared" ref="T205:T211" si="337">(S205/12*2*$E205*$G205*((1-$L205)+$L205*$M205*$R$11*$H205))+(S205/12*10*$F205*$G205*((1-$L205)+$L205*$M205*$R$11*$H205))</f>
        <v>0</v>
      </c>
      <c r="U205" s="123"/>
      <c r="V205" s="143">
        <f t="shared" ref="V205:V211" si="338">(U205/12*2*$E205*$G205*((1-$L205)+$L205*$M205*V$11*$H205))+(U205/12*10*$F205*$G205*((1-$L205)+$L205*$M205*V$12*$H205))</f>
        <v>0</v>
      </c>
      <c r="W205" s="123"/>
      <c r="X205" s="143">
        <f t="shared" ref="X205:X211" si="339">(W205/12*2*$E205*$G205*((1-$L205)+$L205*$M205*$X$11*$H205))+(W205/12*10*$F205*$G205*((1-$L205)+$L205*$M205*$X$12*$H205))</f>
        <v>0</v>
      </c>
      <c r="Y205" s="123">
        <f>48-14</f>
        <v>34</v>
      </c>
      <c r="Z205" s="143">
        <f t="shared" ref="Z205:Z211" si="340">(Y205/12*2*$E205*$G205*((1-$L205)+$L205*$M205*$Z$11*$H205))+(Y205/12*10*$F205*$G205*((1-$L205)+$L205*$M205*$Z$12*$H205))</f>
        <v>15411224.8001901</v>
      </c>
      <c r="AA205" s="123"/>
      <c r="AB205" s="143">
        <f t="shared" ref="AB205:AB211" si="341">(AA205/12*2*$E205*$G205*((1-$L205)+$L205*$M205*$AB$11*$H205))+(AA205/12*10*$F205*$G205*((1-$L205)+$L205*$M205*$AB$11*$H205))</f>
        <v>0</v>
      </c>
      <c r="AC205" s="123"/>
      <c r="AD205" s="123"/>
      <c r="AE205" s="123"/>
      <c r="AF205" s="143">
        <f t="shared" ref="AF205:AF211" si="342">(AE205/12*2*$E205*$G205*((1-$L205)+$L205*$M205*AF$11*$H205))+(AE205/12*10*$F205*$G205*((1-$L205)+$L205*$M205*AF$11*$H205))</f>
        <v>0</v>
      </c>
      <c r="AG205" s="123">
        <v>0</v>
      </c>
      <c r="AH205" s="143">
        <f t="shared" ref="AH205:AH211" si="343">(AG205/12*2*$E205*$G205*((1-$L205)+$L205*$H205*AH$11*$M205))+(AG205/12*10*$F205*$G205*((1-$L205)+$L205*$H205*AH$11*$M205))</f>
        <v>0</v>
      </c>
      <c r="AI205" s="123"/>
      <c r="AJ205" s="143">
        <f t="shared" ref="AJ205:AJ211" si="344">(AI205/12*2*$E205*$G205*((1-$L205)+$L205*$H205*AJ$11*$M205))+(AI205/12*5*$F205*$G205*((1-$L205)+$L205*$H205*AJ$12*$M205))+(AI205/12*5*$F205*$G205*((1-$L205)+$L205*$H205*AJ$13*$M205))</f>
        <v>0</v>
      </c>
      <c r="AK205" s="123"/>
      <c r="AL205" s="143">
        <f t="shared" ref="AL205:AL211" si="345">(AK205/12*2*$E205*$G205*((1-$L205)+$L205*$H205*AL$11*$N205))+(AK205/12*4*$F205*$G205*((1-$L205)+$L205*$H205*AL$12*$N205))+(AK205/12*6*$F205*$G205*((1-$L205)+$L205*$H205*AL$13*$N205))</f>
        <v>0</v>
      </c>
      <c r="AM205" s="132">
        <v>0</v>
      </c>
      <c r="AN205" s="143">
        <f t="shared" ref="AN205:AN211" si="346">(AM205/12*2*$E205*$G205*((1-$L205)+$L205*$N205*$AN$11*H205))+(AM205/12*10*$F205*$G205*((1-$L205)+$L205*$N205*$AN$12*H205))</f>
        <v>0</v>
      </c>
      <c r="AO205" s="130"/>
      <c r="AP205" s="143">
        <f t="shared" ref="AP205:AP211" si="347">(AO205/12*2*$E205*$G205*((1-$L205)+$L205*$H205*AP$11*$N205))+(AO205/12*10*$F205*$G205*((1-$L205)+$L205*$H205*AP$11*$N205))</f>
        <v>0</v>
      </c>
      <c r="AQ205" s="143">
        <v>0</v>
      </c>
      <c r="AR205" s="143">
        <v>0</v>
      </c>
      <c r="AS205" s="123"/>
      <c r="AT205" s="123"/>
      <c r="AU205" s="123"/>
      <c r="AV205" s="126"/>
      <c r="AW205" s="123"/>
      <c r="AX205" s="143">
        <f t="shared" ref="AX205:AX211" si="348">(AW205/12*2*$E205*$G205*((1-$L205)+$L205*$H205*AX$11*$M205))+(AW205/12*10*$F205*$G205*((1-$L205)+$L205*$H205*AX$12*$M205))</f>
        <v>0</v>
      </c>
      <c r="AY205" s="123">
        <v>0</v>
      </c>
      <c r="AZ205" s="143">
        <f t="shared" ref="AZ205:AZ211" si="349">(AY205/12*2*$E205*$G205*((1-$L205)+$L205*$N205*$H205*$AZ$11))+(AY205/12*10*$F205*$G205*((1-$L205)+$L205*$N205*$H205*$AZ$11))</f>
        <v>0</v>
      </c>
      <c r="BA205" s="123"/>
      <c r="BB205" s="143">
        <f t="shared" ref="BB205:BB211" si="350">(BA205/12*2*$E205*$G205*((1-$L205)+$L205*$H205*BB$11*$N205))+(BA205/12*10*$F205*$G205*((1-$L205)+$L205*$H205*BB$12*$N205))</f>
        <v>0</v>
      </c>
      <c r="BC205" s="123"/>
      <c r="BD205" s="146">
        <f t="shared" si="271"/>
        <v>0</v>
      </c>
      <c r="BE205" s="123"/>
      <c r="BF205" s="143">
        <f t="shared" ref="BF205:BF211" si="351">(BE205/12*2*$E205*$G205*((1-$L205)+$L205*$H205*BF$11*$N205))+(BE205/12*10*$F205*$G205*((1-$L205)+$L205*$H205*BF$12*$N205))</f>
        <v>0</v>
      </c>
      <c r="BG205" s="123"/>
      <c r="BH205" s="143">
        <f t="shared" ref="BH205:BH211" si="352">(BG205/12*2*$E205*$G205*((1-$L205)+$L205*$H205*BH$11*$N205))+(BG205/12*10*$F205*$G205*((1-$L205)+$L205*$H205*BH$11*$N205))</f>
        <v>0</v>
      </c>
      <c r="BI205" s="123"/>
      <c r="BJ205" s="143">
        <f t="shared" ref="BJ205:BJ211" si="353">(BI205/12*2*$E205*$G205*((1-$L205)+$L205*$H205*BJ$11*$N205))+(BI205/12*10*$F205*$G205*((1-$L205)+$L205*$H205*BJ$11*$N205))</f>
        <v>0</v>
      </c>
      <c r="BK205" s="123"/>
      <c r="BL205" s="143">
        <f t="shared" ref="BL205:BL211" si="354">(BK205/12*2*$E205*$G205*((1-$L205)+$L205*$H205*BL$11*$N205))+(BK205/12*10*$F205*$G205*((1-$L205)+$L205*$H205*BL$11*$N205))</f>
        <v>0</v>
      </c>
      <c r="BM205" s="123"/>
      <c r="BN205" s="143">
        <f t="shared" ref="BN205:BN211" si="355">(BM205/12*2*$E205*$G205*((1-$L205)+$L205*$H205*BN$11*$M205))+(BM205/12*10*$F205*$G205*((1-$L205)+$L205*$H205*BN$11*$M205))</f>
        <v>0</v>
      </c>
      <c r="BO205" s="123"/>
      <c r="BP205" s="143">
        <f t="shared" ref="BP205:BP211" si="356">(BO205/12*2*$E205*$G205*((1-$L205)+$L205*$H205*BP$11*$M205))+(BO205/12*10*$F205*$G205*((1-$L205)+$L205*$H205*BP$12*$M205))</f>
        <v>0</v>
      </c>
      <c r="BQ205" s="123"/>
      <c r="BR205" s="123"/>
      <c r="BS205" s="123"/>
      <c r="BT205" s="143">
        <f t="shared" ref="BT205:BT211" si="357">(BS205/12*2*$E205*$G205*((1-$L205)+$L205*$H205*BT$11*$N205))+(BS205/12*10*$F205*$G205*((1-$L205)+$L205*$H205*BT$11*$N205))</f>
        <v>0</v>
      </c>
      <c r="BU205" s="123"/>
      <c r="BV205" s="126"/>
      <c r="BW205" s="123"/>
      <c r="BX205" s="143">
        <f t="shared" ref="BX205:BX211" si="358">(BW205/12*2*$E205*$G205*((1-$L205)+$L205*$H205*BX$11*$M205))+(BW205/12*10*$F205*$G205*((1-$L205)+$L205*$H205*BX$11*$M205))</f>
        <v>0</v>
      </c>
      <c r="BY205" s="123"/>
      <c r="BZ205" s="143">
        <f t="shared" ref="BZ205:BZ211" si="359">(BY205/12*2*$E205*$G205*((1-$L205)+$L205*$H205*BZ$11*$M205))+(BY205/12*10*$F205*$G205*((1-$L205)+$L205*$H205*BZ$11*$M205))</f>
        <v>0</v>
      </c>
      <c r="CA205" s="123"/>
      <c r="CB205" s="143">
        <f t="shared" ref="CB205:CB211" si="360">(CA205/12*2*$E205*$G205*((1-$L205)+$L205*$H205*CB$11*$M205))+(CA205/12*10*$F205*$G205*((1-$L205)+$L205*$H205*CB$11*$M205))</f>
        <v>0</v>
      </c>
      <c r="CC205" s="123"/>
      <c r="CD205" s="146">
        <f t="shared" ref="CD205:CD211" si="361">(CC205/12*2*$E205*$G205*((1-$L205)+$L205*$M205*$CD$11*$H205))+(CC205/12*10*$F205*$G205*((1-$L205)+$L205*$M205*$CD$11*$H205))</f>
        <v>0</v>
      </c>
      <c r="CE205" s="123"/>
      <c r="CF205" s="143">
        <f t="shared" ref="CF205:CF211" si="362">(CE205/12*10*$F205*$G205*((1-$L205)+$L205*$H205*CF$11*$N205))</f>
        <v>0</v>
      </c>
      <c r="CG205" s="132"/>
      <c r="CH205" s="143">
        <f t="shared" ref="CH205:CH211" si="363">(CG205/12*2*$E205*$G205*((1-$L205)+$L205*$H205*CH$11*$N205))+(CG205/12*10*$F205*$G205*((1-$L205)+$L205*$H205*CH$11*$N205))</f>
        <v>0</v>
      </c>
      <c r="CI205" s="123"/>
      <c r="CJ205" s="127">
        <f t="shared" si="335"/>
        <v>0</v>
      </c>
      <c r="CK205" s="123"/>
      <c r="CL205" s="123"/>
      <c r="CM205" s="130"/>
      <c r="CN205" s="143">
        <f t="shared" ref="CN205:CN211" si="364">((CM205/12*2*$E205*$G205*((1-$L205)+$L205*$H205*CN$11*$N205)))+((CM205/12*10*$F205*$G205*((1-$L205)+$L205*$H205*CN$11*$N205)))</f>
        <v>0</v>
      </c>
      <c r="CO205" s="123"/>
      <c r="CP205" s="143">
        <f t="shared" ref="CP205:CP211" si="365">(CO205/12*2*$E205*$G205*((1-$L205)+$L205*$H205*CP$11*$N205))+(CO205/12*10*$F205*$G205*((1-$L205)+$L205*$H205*CP$11*$N205))</f>
        <v>0</v>
      </c>
      <c r="CQ205" s="123"/>
      <c r="CR205" s="143">
        <f t="shared" ref="CR205:CR211" si="366">(CQ205/12*2*$E205*$G205*((1-$L205)+$L205*$H205*CR$11*$O205))+(CQ205/12*10*$F205*$G205*((1-$L205)+$L205*$H205*CR$11*$O205))</f>
        <v>0</v>
      </c>
      <c r="CS205" s="123"/>
      <c r="CT205" s="143">
        <f t="shared" ref="CT205:CT211" si="367">(CS205/12*2*$E205*$G205*((1-$L205)+$L205*$H205*CT$11*$P205))+(CS205/12*10*$F205*$G205*((1-$L205)+$L205*$H205*CT$11*$P205))</f>
        <v>0</v>
      </c>
      <c r="CU205" s="127"/>
      <c r="CV205" s="127"/>
      <c r="CW205" s="126">
        <f t="shared" si="294"/>
        <v>34</v>
      </c>
      <c r="CX205" s="126">
        <f t="shared" si="294"/>
        <v>15411224.8001901</v>
      </c>
    </row>
    <row r="206" spans="1:102" ht="30" customHeight="1" x14ac:dyDescent="0.25">
      <c r="A206" s="91"/>
      <c r="B206" s="116">
        <v>174</v>
      </c>
      <c r="C206" s="160" t="s">
        <v>501</v>
      </c>
      <c r="D206" s="118" t="s">
        <v>502</v>
      </c>
      <c r="E206" s="95">
        <v>28004</v>
      </c>
      <c r="F206" s="96">
        <v>29405</v>
      </c>
      <c r="G206" s="152">
        <v>3.78</v>
      </c>
      <c r="H206" s="107">
        <v>1</v>
      </c>
      <c r="I206" s="108"/>
      <c r="J206" s="108"/>
      <c r="K206" s="108"/>
      <c r="L206" s="142">
        <v>0.87080000000000002</v>
      </c>
      <c r="M206" s="213">
        <v>1.4</v>
      </c>
      <c r="N206" s="213">
        <v>1.68</v>
      </c>
      <c r="O206" s="213">
        <v>2.23</v>
      </c>
      <c r="P206" s="214">
        <v>2.57</v>
      </c>
      <c r="Q206" s="122">
        <v>0</v>
      </c>
      <c r="R206" s="143">
        <f t="shared" si="336"/>
        <v>0</v>
      </c>
      <c r="S206" s="157"/>
      <c r="T206" s="144">
        <f t="shared" si="337"/>
        <v>0</v>
      </c>
      <c r="U206" s="143"/>
      <c r="V206" s="143">
        <f t="shared" si="338"/>
        <v>0</v>
      </c>
      <c r="W206" s="123"/>
      <c r="X206" s="143">
        <f t="shared" si="339"/>
        <v>0</v>
      </c>
      <c r="Y206" s="123"/>
      <c r="Z206" s="143">
        <f t="shared" si="340"/>
        <v>0</v>
      </c>
      <c r="AA206" s="123"/>
      <c r="AB206" s="143">
        <f t="shared" si="341"/>
        <v>0</v>
      </c>
      <c r="AC206" s="123"/>
      <c r="AD206" s="123"/>
      <c r="AE206" s="123"/>
      <c r="AF206" s="143">
        <f t="shared" si="342"/>
        <v>0</v>
      </c>
      <c r="AG206" s="123">
        <v>0</v>
      </c>
      <c r="AH206" s="143">
        <f t="shared" si="343"/>
        <v>0</v>
      </c>
      <c r="AI206" s="123"/>
      <c r="AJ206" s="143">
        <f t="shared" si="344"/>
        <v>0</v>
      </c>
      <c r="AK206" s="123"/>
      <c r="AL206" s="143">
        <f t="shared" si="345"/>
        <v>0</v>
      </c>
      <c r="AM206" s="132">
        <v>0</v>
      </c>
      <c r="AN206" s="143">
        <f t="shared" si="346"/>
        <v>0</v>
      </c>
      <c r="AO206" s="130"/>
      <c r="AP206" s="143">
        <f t="shared" si="347"/>
        <v>0</v>
      </c>
      <c r="AQ206" s="143">
        <v>0</v>
      </c>
      <c r="AR206" s="143">
        <v>0</v>
      </c>
      <c r="AS206" s="123"/>
      <c r="AT206" s="123"/>
      <c r="AU206" s="123"/>
      <c r="AV206" s="123"/>
      <c r="AW206" s="123"/>
      <c r="AX206" s="143">
        <f t="shared" si="348"/>
        <v>0</v>
      </c>
      <c r="AY206" s="123">
        <v>0</v>
      </c>
      <c r="AZ206" s="143">
        <f t="shared" si="349"/>
        <v>0</v>
      </c>
      <c r="BA206" s="123"/>
      <c r="BB206" s="143">
        <f t="shared" si="350"/>
        <v>0</v>
      </c>
      <c r="BC206" s="123"/>
      <c r="BD206" s="146">
        <f t="shared" si="271"/>
        <v>0</v>
      </c>
      <c r="BE206" s="123"/>
      <c r="BF206" s="143">
        <f t="shared" si="351"/>
        <v>0</v>
      </c>
      <c r="BG206" s="123"/>
      <c r="BH206" s="143">
        <f t="shared" si="352"/>
        <v>0</v>
      </c>
      <c r="BI206" s="123"/>
      <c r="BJ206" s="143">
        <f t="shared" si="353"/>
        <v>0</v>
      </c>
      <c r="BK206" s="123"/>
      <c r="BL206" s="143">
        <f t="shared" si="354"/>
        <v>0</v>
      </c>
      <c r="BM206" s="123"/>
      <c r="BN206" s="143">
        <f t="shared" si="355"/>
        <v>0</v>
      </c>
      <c r="BO206" s="123"/>
      <c r="BP206" s="143">
        <f t="shared" si="356"/>
        <v>0</v>
      </c>
      <c r="BQ206" s="123"/>
      <c r="BR206" s="123"/>
      <c r="BS206" s="123"/>
      <c r="BT206" s="143">
        <f t="shared" si="357"/>
        <v>0</v>
      </c>
      <c r="BU206" s="123"/>
      <c r="BV206" s="123"/>
      <c r="BW206" s="123"/>
      <c r="BX206" s="143">
        <f t="shared" si="358"/>
        <v>0</v>
      </c>
      <c r="BY206" s="123"/>
      <c r="BZ206" s="143">
        <f t="shared" si="359"/>
        <v>0</v>
      </c>
      <c r="CA206" s="123"/>
      <c r="CB206" s="143">
        <f t="shared" si="360"/>
        <v>0</v>
      </c>
      <c r="CC206" s="123"/>
      <c r="CD206" s="146">
        <f t="shared" si="361"/>
        <v>0</v>
      </c>
      <c r="CE206" s="123"/>
      <c r="CF206" s="143">
        <f t="shared" si="362"/>
        <v>0</v>
      </c>
      <c r="CG206" s="132"/>
      <c r="CH206" s="143">
        <f t="shared" si="363"/>
        <v>0</v>
      </c>
      <c r="CI206" s="123"/>
      <c r="CJ206" s="127"/>
      <c r="CK206" s="123"/>
      <c r="CL206" s="123"/>
      <c r="CM206" s="130"/>
      <c r="CN206" s="143">
        <f t="shared" si="364"/>
        <v>0</v>
      </c>
      <c r="CO206" s="123"/>
      <c r="CP206" s="143">
        <f t="shared" si="365"/>
        <v>0</v>
      </c>
      <c r="CQ206" s="123"/>
      <c r="CR206" s="143">
        <f t="shared" si="366"/>
        <v>0</v>
      </c>
      <c r="CS206" s="123"/>
      <c r="CT206" s="143">
        <f t="shared" si="367"/>
        <v>0</v>
      </c>
      <c r="CU206" s="127"/>
      <c r="CV206" s="127"/>
      <c r="CW206" s="126">
        <f t="shared" si="294"/>
        <v>0</v>
      </c>
      <c r="CX206" s="126">
        <f t="shared" si="294"/>
        <v>0</v>
      </c>
    </row>
    <row r="207" spans="1:102" ht="30" customHeight="1" x14ac:dyDescent="0.25">
      <c r="A207" s="91"/>
      <c r="B207" s="116">
        <v>175</v>
      </c>
      <c r="C207" s="160" t="s">
        <v>503</v>
      </c>
      <c r="D207" s="118" t="s">
        <v>504</v>
      </c>
      <c r="E207" s="95">
        <v>28004</v>
      </c>
      <c r="F207" s="96">
        <v>29405</v>
      </c>
      <c r="G207" s="152">
        <v>4.37</v>
      </c>
      <c r="H207" s="107">
        <v>1</v>
      </c>
      <c r="I207" s="108"/>
      <c r="J207" s="108"/>
      <c r="K207" s="108"/>
      <c r="L207" s="142">
        <v>0.88839999999999997</v>
      </c>
      <c r="M207" s="213">
        <v>1.4</v>
      </c>
      <c r="N207" s="213">
        <v>1.68</v>
      </c>
      <c r="O207" s="213">
        <v>2.23</v>
      </c>
      <c r="P207" s="214">
        <v>2.57</v>
      </c>
      <c r="Q207" s="122">
        <v>0</v>
      </c>
      <c r="R207" s="143">
        <f t="shared" si="336"/>
        <v>0</v>
      </c>
      <c r="S207" s="157"/>
      <c r="T207" s="144">
        <f t="shared" si="337"/>
        <v>0</v>
      </c>
      <c r="U207" s="143"/>
      <c r="V207" s="143">
        <f t="shared" si="338"/>
        <v>0</v>
      </c>
      <c r="W207" s="123"/>
      <c r="X207" s="143">
        <f t="shared" si="339"/>
        <v>0</v>
      </c>
      <c r="Y207" s="123">
        <f>95+7</f>
        <v>102</v>
      </c>
      <c r="Z207" s="143">
        <f>(Y207/12*2*$E207*$G207*((1-$L207)+$L207*$M207*$Z$11*$H207))+(Y207/12*10*$F207*$G207*((1-$L207)+$L207*$M207*$Z$12*$H207))</f>
        <v>23141666.784786042</v>
      </c>
      <c r="AA207" s="123"/>
      <c r="AB207" s="143">
        <f t="shared" si="341"/>
        <v>0</v>
      </c>
      <c r="AC207" s="123"/>
      <c r="AD207" s="123"/>
      <c r="AE207" s="123"/>
      <c r="AF207" s="143">
        <f t="shared" si="342"/>
        <v>0</v>
      </c>
      <c r="AG207" s="123">
        <v>0</v>
      </c>
      <c r="AH207" s="143">
        <f t="shared" si="343"/>
        <v>0</v>
      </c>
      <c r="AI207" s="123"/>
      <c r="AJ207" s="143">
        <f t="shared" si="344"/>
        <v>0</v>
      </c>
      <c r="AK207" s="123"/>
      <c r="AL207" s="143">
        <f t="shared" si="345"/>
        <v>0</v>
      </c>
      <c r="AM207" s="132">
        <v>0</v>
      </c>
      <c r="AN207" s="143">
        <f t="shared" si="346"/>
        <v>0</v>
      </c>
      <c r="AO207" s="130"/>
      <c r="AP207" s="143">
        <f t="shared" si="347"/>
        <v>0</v>
      </c>
      <c r="AQ207" s="143">
        <v>0</v>
      </c>
      <c r="AR207" s="143">
        <v>0</v>
      </c>
      <c r="AS207" s="123"/>
      <c r="AT207" s="123"/>
      <c r="AU207" s="123"/>
      <c r="AV207" s="123"/>
      <c r="AW207" s="123"/>
      <c r="AX207" s="143">
        <f t="shared" si="348"/>
        <v>0</v>
      </c>
      <c r="AY207" s="123">
        <v>0</v>
      </c>
      <c r="AZ207" s="143">
        <f t="shared" si="349"/>
        <v>0</v>
      </c>
      <c r="BA207" s="123"/>
      <c r="BB207" s="143">
        <f t="shared" si="350"/>
        <v>0</v>
      </c>
      <c r="BC207" s="123"/>
      <c r="BD207" s="146">
        <f t="shared" si="271"/>
        <v>0</v>
      </c>
      <c r="BE207" s="123"/>
      <c r="BF207" s="143">
        <f t="shared" si="351"/>
        <v>0</v>
      </c>
      <c r="BG207" s="123"/>
      <c r="BH207" s="143">
        <f t="shared" si="352"/>
        <v>0</v>
      </c>
      <c r="BI207" s="123"/>
      <c r="BJ207" s="143">
        <f t="shared" si="353"/>
        <v>0</v>
      </c>
      <c r="BK207" s="123"/>
      <c r="BL207" s="143">
        <f t="shared" si="354"/>
        <v>0</v>
      </c>
      <c r="BM207" s="123"/>
      <c r="BN207" s="143">
        <f t="shared" si="355"/>
        <v>0</v>
      </c>
      <c r="BO207" s="123"/>
      <c r="BP207" s="143">
        <f t="shared" si="356"/>
        <v>0</v>
      </c>
      <c r="BQ207" s="123"/>
      <c r="BR207" s="123"/>
      <c r="BS207" s="123"/>
      <c r="BT207" s="143">
        <f t="shared" si="357"/>
        <v>0</v>
      </c>
      <c r="BU207" s="123"/>
      <c r="BV207" s="123"/>
      <c r="BW207" s="123"/>
      <c r="BX207" s="143">
        <f t="shared" si="358"/>
        <v>0</v>
      </c>
      <c r="BY207" s="123"/>
      <c r="BZ207" s="143">
        <f t="shared" si="359"/>
        <v>0</v>
      </c>
      <c r="CA207" s="123"/>
      <c r="CB207" s="143">
        <f t="shared" si="360"/>
        <v>0</v>
      </c>
      <c r="CC207" s="123"/>
      <c r="CD207" s="146">
        <f t="shared" si="361"/>
        <v>0</v>
      </c>
      <c r="CE207" s="123"/>
      <c r="CF207" s="143">
        <f t="shared" si="362"/>
        <v>0</v>
      </c>
      <c r="CG207" s="132"/>
      <c r="CH207" s="143">
        <f>(CG207/12*2*$E207*$G207*((1-$L207)+$L207*$H207*CH$11*$N207))+(CG207/12*10*$F207*$G207*((1-$L207)+$L207*$H207*CH$11*$N207))</f>
        <v>0</v>
      </c>
      <c r="CI207" s="123"/>
      <c r="CJ207" s="127"/>
      <c r="CK207" s="123"/>
      <c r="CL207" s="123"/>
      <c r="CM207" s="130"/>
      <c r="CN207" s="143">
        <f t="shared" si="364"/>
        <v>0</v>
      </c>
      <c r="CO207" s="123"/>
      <c r="CP207" s="143">
        <f t="shared" si="365"/>
        <v>0</v>
      </c>
      <c r="CQ207" s="123"/>
      <c r="CR207" s="143">
        <f t="shared" si="366"/>
        <v>0</v>
      </c>
      <c r="CS207" s="123"/>
      <c r="CT207" s="143">
        <f t="shared" si="367"/>
        <v>0</v>
      </c>
      <c r="CU207" s="127"/>
      <c r="CV207" s="127"/>
      <c r="CW207" s="126">
        <f t="shared" si="294"/>
        <v>102</v>
      </c>
      <c r="CX207" s="126">
        <f t="shared" si="294"/>
        <v>23141666.784786042</v>
      </c>
    </row>
    <row r="208" spans="1:102" ht="30" customHeight="1" x14ac:dyDescent="0.25">
      <c r="A208" s="91"/>
      <c r="B208" s="116">
        <v>176</v>
      </c>
      <c r="C208" s="160" t="s">
        <v>505</v>
      </c>
      <c r="D208" s="118" t="s">
        <v>506</v>
      </c>
      <c r="E208" s="95">
        <v>28004</v>
      </c>
      <c r="F208" s="96">
        <v>29405</v>
      </c>
      <c r="G208" s="152">
        <v>5.85</v>
      </c>
      <c r="H208" s="107">
        <v>1</v>
      </c>
      <c r="I208" s="108"/>
      <c r="J208" s="108"/>
      <c r="K208" s="108"/>
      <c r="L208" s="142">
        <v>0.87050000000000005</v>
      </c>
      <c r="M208" s="213">
        <v>1.4</v>
      </c>
      <c r="N208" s="213">
        <v>1.68</v>
      </c>
      <c r="O208" s="213">
        <v>2.23</v>
      </c>
      <c r="P208" s="214">
        <v>2.57</v>
      </c>
      <c r="Q208" s="122">
        <v>0</v>
      </c>
      <c r="R208" s="143">
        <f t="shared" si="336"/>
        <v>0</v>
      </c>
      <c r="S208" s="157"/>
      <c r="T208" s="144">
        <f t="shared" si="337"/>
        <v>0</v>
      </c>
      <c r="U208" s="143"/>
      <c r="V208" s="143">
        <f t="shared" si="338"/>
        <v>0</v>
      </c>
      <c r="W208" s="123"/>
      <c r="X208" s="143">
        <f t="shared" si="339"/>
        <v>0</v>
      </c>
      <c r="Y208" s="123"/>
      <c r="Z208" s="143">
        <f t="shared" si="340"/>
        <v>0</v>
      </c>
      <c r="AA208" s="123"/>
      <c r="AB208" s="143">
        <f t="shared" si="341"/>
        <v>0</v>
      </c>
      <c r="AC208" s="123"/>
      <c r="AD208" s="123"/>
      <c r="AE208" s="123"/>
      <c r="AF208" s="143">
        <f t="shared" si="342"/>
        <v>0</v>
      </c>
      <c r="AG208" s="123">
        <v>0</v>
      </c>
      <c r="AH208" s="143">
        <f t="shared" si="343"/>
        <v>0</v>
      </c>
      <c r="AI208" s="123"/>
      <c r="AJ208" s="143">
        <f t="shared" si="344"/>
        <v>0</v>
      </c>
      <c r="AK208" s="123"/>
      <c r="AL208" s="143">
        <f t="shared" si="345"/>
        <v>0</v>
      </c>
      <c r="AM208" s="132">
        <v>0</v>
      </c>
      <c r="AN208" s="143">
        <f t="shared" si="346"/>
        <v>0</v>
      </c>
      <c r="AO208" s="130"/>
      <c r="AP208" s="143">
        <f t="shared" si="347"/>
        <v>0</v>
      </c>
      <c r="AQ208" s="143">
        <v>0</v>
      </c>
      <c r="AR208" s="143">
        <v>0</v>
      </c>
      <c r="AS208" s="123"/>
      <c r="AT208" s="123"/>
      <c r="AU208" s="123"/>
      <c r="AV208" s="123"/>
      <c r="AW208" s="123"/>
      <c r="AX208" s="143">
        <f t="shared" si="348"/>
        <v>0</v>
      </c>
      <c r="AY208" s="123">
        <v>0</v>
      </c>
      <c r="AZ208" s="143">
        <f t="shared" si="349"/>
        <v>0</v>
      </c>
      <c r="BA208" s="123"/>
      <c r="BB208" s="143">
        <f t="shared" si="350"/>
        <v>0</v>
      </c>
      <c r="BC208" s="123"/>
      <c r="BD208" s="146">
        <f t="shared" si="271"/>
        <v>0</v>
      </c>
      <c r="BE208" s="123"/>
      <c r="BF208" s="143">
        <f t="shared" si="351"/>
        <v>0</v>
      </c>
      <c r="BG208" s="123"/>
      <c r="BH208" s="143">
        <f t="shared" si="352"/>
        <v>0</v>
      </c>
      <c r="BI208" s="123"/>
      <c r="BJ208" s="143">
        <f t="shared" si="353"/>
        <v>0</v>
      </c>
      <c r="BK208" s="123"/>
      <c r="BL208" s="143">
        <f t="shared" si="354"/>
        <v>0</v>
      </c>
      <c r="BM208" s="123"/>
      <c r="BN208" s="143">
        <f t="shared" si="355"/>
        <v>0</v>
      </c>
      <c r="BO208" s="123"/>
      <c r="BP208" s="143">
        <f t="shared" si="356"/>
        <v>0</v>
      </c>
      <c r="BQ208" s="123"/>
      <c r="BR208" s="123"/>
      <c r="BS208" s="123"/>
      <c r="BT208" s="143">
        <f t="shared" si="357"/>
        <v>0</v>
      </c>
      <c r="BU208" s="123"/>
      <c r="BV208" s="123"/>
      <c r="BW208" s="123"/>
      <c r="BX208" s="143">
        <f t="shared" si="358"/>
        <v>0</v>
      </c>
      <c r="BY208" s="123"/>
      <c r="BZ208" s="143">
        <f t="shared" si="359"/>
        <v>0</v>
      </c>
      <c r="CA208" s="123"/>
      <c r="CB208" s="143">
        <f t="shared" si="360"/>
        <v>0</v>
      </c>
      <c r="CC208" s="123"/>
      <c r="CD208" s="146">
        <f t="shared" si="361"/>
        <v>0</v>
      </c>
      <c r="CE208" s="123"/>
      <c r="CF208" s="143">
        <f t="shared" si="362"/>
        <v>0</v>
      </c>
      <c r="CG208" s="132"/>
      <c r="CH208" s="143">
        <f t="shared" si="363"/>
        <v>0</v>
      </c>
      <c r="CI208" s="123"/>
      <c r="CJ208" s="127"/>
      <c r="CK208" s="123"/>
      <c r="CL208" s="123"/>
      <c r="CM208" s="130"/>
      <c r="CN208" s="143">
        <f t="shared" si="364"/>
        <v>0</v>
      </c>
      <c r="CO208" s="123"/>
      <c r="CP208" s="143">
        <f t="shared" si="365"/>
        <v>0</v>
      </c>
      <c r="CQ208" s="123"/>
      <c r="CR208" s="143">
        <f t="shared" si="366"/>
        <v>0</v>
      </c>
      <c r="CS208" s="123"/>
      <c r="CT208" s="143">
        <f t="shared" si="367"/>
        <v>0</v>
      </c>
      <c r="CU208" s="127"/>
      <c r="CV208" s="127"/>
      <c r="CW208" s="126">
        <f t="shared" si="294"/>
        <v>0</v>
      </c>
      <c r="CX208" s="126">
        <f t="shared" si="294"/>
        <v>0</v>
      </c>
    </row>
    <row r="209" spans="1:102" ht="30" customHeight="1" x14ac:dyDescent="0.25">
      <c r="A209" s="91"/>
      <c r="B209" s="116">
        <v>177</v>
      </c>
      <c r="C209" s="160" t="s">
        <v>507</v>
      </c>
      <c r="D209" s="118" t="s">
        <v>508</v>
      </c>
      <c r="E209" s="95">
        <v>28004</v>
      </c>
      <c r="F209" s="96">
        <v>29405</v>
      </c>
      <c r="G209" s="152">
        <v>6.57</v>
      </c>
      <c r="H209" s="107">
        <v>1</v>
      </c>
      <c r="I209" s="108"/>
      <c r="J209" s="108"/>
      <c r="K209" s="108"/>
      <c r="L209" s="142">
        <v>0.88490000000000002</v>
      </c>
      <c r="M209" s="213">
        <v>1.4</v>
      </c>
      <c r="N209" s="213">
        <v>1.68</v>
      </c>
      <c r="O209" s="213">
        <v>2.23</v>
      </c>
      <c r="P209" s="214">
        <v>2.57</v>
      </c>
      <c r="Q209" s="122">
        <v>0</v>
      </c>
      <c r="R209" s="143">
        <f t="shared" si="336"/>
        <v>0</v>
      </c>
      <c r="S209" s="157"/>
      <c r="T209" s="144">
        <f t="shared" si="337"/>
        <v>0</v>
      </c>
      <c r="U209" s="143"/>
      <c r="V209" s="143">
        <f t="shared" si="338"/>
        <v>0</v>
      </c>
      <c r="W209" s="123"/>
      <c r="X209" s="143">
        <f t="shared" si="339"/>
        <v>0</v>
      </c>
      <c r="Y209" s="123">
        <f>24+12</f>
        <v>36</v>
      </c>
      <c r="Z209" s="143">
        <f t="shared" si="340"/>
        <v>12258311.185477618</v>
      </c>
      <c r="AA209" s="123"/>
      <c r="AB209" s="143">
        <f t="shared" si="341"/>
        <v>0</v>
      </c>
      <c r="AC209" s="123"/>
      <c r="AD209" s="123"/>
      <c r="AE209" s="123"/>
      <c r="AF209" s="143">
        <f t="shared" si="342"/>
        <v>0</v>
      </c>
      <c r="AG209" s="123">
        <v>0</v>
      </c>
      <c r="AH209" s="143">
        <f t="shared" si="343"/>
        <v>0</v>
      </c>
      <c r="AI209" s="123"/>
      <c r="AJ209" s="143">
        <f t="shared" si="344"/>
        <v>0</v>
      </c>
      <c r="AK209" s="123"/>
      <c r="AL209" s="143">
        <f t="shared" si="345"/>
        <v>0</v>
      </c>
      <c r="AM209" s="132">
        <v>0</v>
      </c>
      <c r="AN209" s="143">
        <f t="shared" si="346"/>
        <v>0</v>
      </c>
      <c r="AO209" s="130"/>
      <c r="AP209" s="143">
        <f t="shared" si="347"/>
        <v>0</v>
      </c>
      <c r="AQ209" s="143">
        <v>0</v>
      </c>
      <c r="AR209" s="143">
        <v>0</v>
      </c>
      <c r="AS209" s="123"/>
      <c r="AT209" s="123"/>
      <c r="AU209" s="123"/>
      <c r="AV209" s="123"/>
      <c r="AW209" s="123"/>
      <c r="AX209" s="143">
        <f t="shared" si="348"/>
        <v>0</v>
      </c>
      <c r="AY209" s="123">
        <v>0</v>
      </c>
      <c r="AZ209" s="143">
        <f t="shared" si="349"/>
        <v>0</v>
      </c>
      <c r="BA209" s="123"/>
      <c r="BB209" s="143">
        <f t="shared" si="350"/>
        <v>0</v>
      </c>
      <c r="BC209" s="123"/>
      <c r="BD209" s="146">
        <f t="shared" si="271"/>
        <v>0</v>
      </c>
      <c r="BE209" s="123"/>
      <c r="BF209" s="143">
        <f t="shared" si="351"/>
        <v>0</v>
      </c>
      <c r="BG209" s="123"/>
      <c r="BH209" s="143">
        <f t="shared" si="352"/>
        <v>0</v>
      </c>
      <c r="BI209" s="123"/>
      <c r="BJ209" s="143">
        <f t="shared" si="353"/>
        <v>0</v>
      </c>
      <c r="BK209" s="123"/>
      <c r="BL209" s="143">
        <f t="shared" si="354"/>
        <v>0</v>
      </c>
      <c r="BM209" s="123"/>
      <c r="BN209" s="143">
        <f t="shared" si="355"/>
        <v>0</v>
      </c>
      <c r="BO209" s="123"/>
      <c r="BP209" s="143">
        <f t="shared" si="356"/>
        <v>0</v>
      </c>
      <c r="BQ209" s="123"/>
      <c r="BR209" s="123"/>
      <c r="BS209" s="123"/>
      <c r="BT209" s="143">
        <f t="shared" si="357"/>
        <v>0</v>
      </c>
      <c r="BU209" s="123"/>
      <c r="BV209" s="123"/>
      <c r="BW209" s="123"/>
      <c r="BX209" s="143">
        <f t="shared" si="358"/>
        <v>0</v>
      </c>
      <c r="BY209" s="123"/>
      <c r="BZ209" s="143">
        <f t="shared" si="359"/>
        <v>0</v>
      </c>
      <c r="CA209" s="123"/>
      <c r="CB209" s="143">
        <f t="shared" si="360"/>
        <v>0</v>
      </c>
      <c r="CC209" s="123"/>
      <c r="CD209" s="146">
        <f t="shared" si="361"/>
        <v>0</v>
      </c>
      <c r="CE209" s="123"/>
      <c r="CF209" s="143">
        <f t="shared" si="362"/>
        <v>0</v>
      </c>
      <c r="CG209" s="132"/>
      <c r="CH209" s="143">
        <f t="shared" si="363"/>
        <v>0</v>
      </c>
      <c r="CI209" s="123"/>
      <c r="CJ209" s="127"/>
      <c r="CK209" s="123"/>
      <c r="CL209" s="123"/>
      <c r="CM209" s="130"/>
      <c r="CN209" s="143">
        <f t="shared" si="364"/>
        <v>0</v>
      </c>
      <c r="CO209" s="123"/>
      <c r="CP209" s="143">
        <f t="shared" si="365"/>
        <v>0</v>
      </c>
      <c r="CQ209" s="123"/>
      <c r="CR209" s="143">
        <f t="shared" si="366"/>
        <v>0</v>
      </c>
      <c r="CS209" s="123"/>
      <c r="CT209" s="143">
        <f t="shared" si="367"/>
        <v>0</v>
      </c>
      <c r="CU209" s="127"/>
      <c r="CV209" s="127"/>
      <c r="CW209" s="126">
        <f t="shared" si="294"/>
        <v>36</v>
      </c>
      <c r="CX209" s="126">
        <f t="shared" si="294"/>
        <v>12258311.185477618</v>
      </c>
    </row>
    <row r="210" spans="1:102" ht="30" customHeight="1" x14ac:dyDescent="0.25">
      <c r="A210" s="91"/>
      <c r="B210" s="116">
        <v>178</v>
      </c>
      <c r="C210" s="160" t="s">
        <v>509</v>
      </c>
      <c r="D210" s="118" t="s">
        <v>510</v>
      </c>
      <c r="E210" s="95">
        <v>28004</v>
      </c>
      <c r="F210" s="96">
        <v>29405</v>
      </c>
      <c r="G210" s="108">
        <v>9.49</v>
      </c>
      <c r="H210" s="107">
        <v>1</v>
      </c>
      <c r="I210" s="108"/>
      <c r="J210" s="108"/>
      <c r="K210" s="108"/>
      <c r="L210" s="142">
        <v>0.46029999999999999</v>
      </c>
      <c r="M210" s="213">
        <v>1.4</v>
      </c>
      <c r="N210" s="213">
        <v>1.68</v>
      </c>
      <c r="O210" s="213">
        <v>2.23</v>
      </c>
      <c r="P210" s="214">
        <v>2.57</v>
      </c>
      <c r="Q210" s="122">
        <v>0</v>
      </c>
      <c r="R210" s="143">
        <f t="shared" si="336"/>
        <v>0</v>
      </c>
      <c r="S210" s="157"/>
      <c r="T210" s="144">
        <f t="shared" si="337"/>
        <v>0</v>
      </c>
      <c r="U210" s="143"/>
      <c r="V210" s="143">
        <f t="shared" si="338"/>
        <v>0</v>
      </c>
      <c r="W210" s="123"/>
      <c r="X210" s="143">
        <f t="shared" si="339"/>
        <v>0</v>
      </c>
      <c r="Y210" s="123">
        <f>2+13</f>
        <v>15</v>
      </c>
      <c r="Z210" s="143">
        <f t="shared" si="340"/>
        <v>5830181.6237733262</v>
      </c>
      <c r="AA210" s="123"/>
      <c r="AB210" s="143">
        <f t="shared" si="341"/>
        <v>0</v>
      </c>
      <c r="AC210" s="123"/>
      <c r="AD210" s="123"/>
      <c r="AE210" s="123"/>
      <c r="AF210" s="143">
        <f t="shared" si="342"/>
        <v>0</v>
      </c>
      <c r="AG210" s="123">
        <v>0</v>
      </c>
      <c r="AH210" s="143">
        <f t="shared" si="343"/>
        <v>0</v>
      </c>
      <c r="AI210" s="123"/>
      <c r="AJ210" s="143">
        <f t="shared" si="344"/>
        <v>0</v>
      </c>
      <c r="AK210" s="123"/>
      <c r="AL210" s="143">
        <f t="shared" si="345"/>
        <v>0</v>
      </c>
      <c r="AM210" s="132">
        <v>0</v>
      </c>
      <c r="AN210" s="143">
        <f t="shared" si="346"/>
        <v>0</v>
      </c>
      <c r="AO210" s="130"/>
      <c r="AP210" s="143">
        <f t="shared" si="347"/>
        <v>0</v>
      </c>
      <c r="AQ210" s="143">
        <v>0</v>
      </c>
      <c r="AR210" s="143">
        <v>0</v>
      </c>
      <c r="AS210" s="123"/>
      <c r="AT210" s="123"/>
      <c r="AU210" s="123"/>
      <c r="AV210" s="123"/>
      <c r="AW210" s="123"/>
      <c r="AX210" s="143">
        <f t="shared" si="348"/>
        <v>0</v>
      </c>
      <c r="AY210" s="123">
        <v>0</v>
      </c>
      <c r="AZ210" s="143">
        <f t="shared" si="349"/>
        <v>0</v>
      </c>
      <c r="BA210" s="123"/>
      <c r="BB210" s="143">
        <f t="shared" si="350"/>
        <v>0</v>
      </c>
      <c r="BC210" s="123"/>
      <c r="BD210" s="146">
        <f t="shared" si="271"/>
        <v>0</v>
      </c>
      <c r="BE210" s="123"/>
      <c r="BF210" s="143">
        <f t="shared" si="351"/>
        <v>0</v>
      </c>
      <c r="BG210" s="123"/>
      <c r="BH210" s="143">
        <f t="shared" si="352"/>
        <v>0</v>
      </c>
      <c r="BI210" s="123"/>
      <c r="BJ210" s="143">
        <f t="shared" si="353"/>
        <v>0</v>
      </c>
      <c r="BK210" s="123"/>
      <c r="BL210" s="143">
        <f t="shared" si="354"/>
        <v>0</v>
      </c>
      <c r="BM210" s="123"/>
      <c r="BN210" s="143">
        <f t="shared" si="355"/>
        <v>0</v>
      </c>
      <c r="BO210" s="123"/>
      <c r="BP210" s="143">
        <f t="shared" si="356"/>
        <v>0</v>
      </c>
      <c r="BQ210" s="123"/>
      <c r="BR210" s="123"/>
      <c r="BS210" s="123"/>
      <c r="BT210" s="143">
        <f t="shared" si="357"/>
        <v>0</v>
      </c>
      <c r="BU210" s="123"/>
      <c r="BV210" s="123"/>
      <c r="BW210" s="123"/>
      <c r="BX210" s="143">
        <f t="shared" si="358"/>
        <v>0</v>
      </c>
      <c r="BY210" s="123"/>
      <c r="BZ210" s="143">
        <f t="shared" si="359"/>
        <v>0</v>
      </c>
      <c r="CA210" s="123"/>
      <c r="CB210" s="143">
        <f t="shared" si="360"/>
        <v>0</v>
      </c>
      <c r="CC210" s="123"/>
      <c r="CD210" s="146">
        <f t="shared" si="361"/>
        <v>0</v>
      </c>
      <c r="CE210" s="123"/>
      <c r="CF210" s="143">
        <f t="shared" si="362"/>
        <v>0</v>
      </c>
      <c r="CG210" s="132"/>
      <c r="CH210" s="143">
        <f t="shared" si="363"/>
        <v>0</v>
      </c>
      <c r="CI210" s="123"/>
      <c r="CJ210" s="127"/>
      <c r="CK210" s="123"/>
      <c r="CL210" s="123"/>
      <c r="CM210" s="130"/>
      <c r="CN210" s="143">
        <f t="shared" si="364"/>
        <v>0</v>
      </c>
      <c r="CO210" s="123"/>
      <c r="CP210" s="143">
        <f t="shared" si="365"/>
        <v>0</v>
      </c>
      <c r="CQ210" s="123"/>
      <c r="CR210" s="143">
        <f t="shared" si="366"/>
        <v>0</v>
      </c>
      <c r="CS210" s="123"/>
      <c r="CT210" s="143">
        <f t="shared" si="367"/>
        <v>0</v>
      </c>
      <c r="CU210" s="127"/>
      <c r="CV210" s="127"/>
      <c r="CW210" s="126">
        <f t="shared" si="294"/>
        <v>15</v>
      </c>
      <c r="CX210" s="126">
        <f t="shared" si="294"/>
        <v>5830181.6237733262</v>
      </c>
    </row>
    <row r="211" spans="1:102" ht="30" customHeight="1" x14ac:dyDescent="0.25">
      <c r="A211" s="91"/>
      <c r="B211" s="116">
        <v>179</v>
      </c>
      <c r="C211" s="160" t="s">
        <v>511</v>
      </c>
      <c r="D211" s="118" t="s">
        <v>512</v>
      </c>
      <c r="E211" s="95">
        <v>28004</v>
      </c>
      <c r="F211" s="96">
        <v>29405</v>
      </c>
      <c r="G211" s="152">
        <v>16.32</v>
      </c>
      <c r="H211" s="107">
        <v>1</v>
      </c>
      <c r="I211" s="108"/>
      <c r="J211" s="108"/>
      <c r="K211" s="108"/>
      <c r="L211" s="142">
        <v>0.2676</v>
      </c>
      <c r="M211" s="213">
        <v>1.4</v>
      </c>
      <c r="N211" s="213">
        <v>1.68</v>
      </c>
      <c r="O211" s="213">
        <v>2.23</v>
      </c>
      <c r="P211" s="214">
        <v>2.57</v>
      </c>
      <c r="Q211" s="122">
        <v>0</v>
      </c>
      <c r="R211" s="143">
        <f t="shared" si="336"/>
        <v>0</v>
      </c>
      <c r="S211" s="157"/>
      <c r="T211" s="144">
        <f t="shared" si="337"/>
        <v>0</v>
      </c>
      <c r="U211" s="143"/>
      <c r="V211" s="143">
        <f t="shared" si="338"/>
        <v>0</v>
      </c>
      <c r="W211" s="123"/>
      <c r="X211" s="143">
        <f t="shared" si="339"/>
        <v>0</v>
      </c>
      <c r="Y211" s="123">
        <f>24-2</f>
        <v>22</v>
      </c>
      <c r="Z211" s="143">
        <f t="shared" si="340"/>
        <v>12933670.918037759</v>
      </c>
      <c r="AA211" s="123"/>
      <c r="AB211" s="143">
        <f t="shared" si="341"/>
        <v>0</v>
      </c>
      <c r="AC211" s="123"/>
      <c r="AD211" s="123"/>
      <c r="AE211" s="123"/>
      <c r="AF211" s="143">
        <f t="shared" si="342"/>
        <v>0</v>
      </c>
      <c r="AG211" s="123">
        <v>0</v>
      </c>
      <c r="AH211" s="143">
        <f t="shared" si="343"/>
        <v>0</v>
      </c>
      <c r="AI211" s="123"/>
      <c r="AJ211" s="143">
        <f t="shared" si="344"/>
        <v>0</v>
      </c>
      <c r="AK211" s="123"/>
      <c r="AL211" s="143">
        <f t="shared" si="345"/>
        <v>0</v>
      </c>
      <c r="AM211" s="132">
        <v>0</v>
      </c>
      <c r="AN211" s="143">
        <f t="shared" si="346"/>
        <v>0</v>
      </c>
      <c r="AO211" s="130"/>
      <c r="AP211" s="143">
        <f t="shared" si="347"/>
        <v>0</v>
      </c>
      <c r="AQ211" s="143">
        <v>0</v>
      </c>
      <c r="AR211" s="143">
        <v>0</v>
      </c>
      <c r="AS211" s="123"/>
      <c r="AT211" s="123"/>
      <c r="AU211" s="123"/>
      <c r="AV211" s="123"/>
      <c r="AW211" s="123"/>
      <c r="AX211" s="143">
        <f t="shared" si="348"/>
        <v>0</v>
      </c>
      <c r="AY211" s="123">
        <v>0</v>
      </c>
      <c r="AZ211" s="143">
        <f t="shared" si="349"/>
        <v>0</v>
      </c>
      <c r="BA211" s="123"/>
      <c r="BB211" s="143">
        <f t="shared" si="350"/>
        <v>0</v>
      </c>
      <c r="BC211" s="123"/>
      <c r="BD211" s="146">
        <f t="shared" si="271"/>
        <v>0</v>
      </c>
      <c r="BE211" s="123"/>
      <c r="BF211" s="143">
        <f t="shared" si="351"/>
        <v>0</v>
      </c>
      <c r="BG211" s="123"/>
      <c r="BH211" s="143">
        <f t="shared" si="352"/>
        <v>0</v>
      </c>
      <c r="BI211" s="123"/>
      <c r="BJ211" s="143">
        <f t="shared" si="353"/>
        <v>0</v>
      </c>
      <c r="BK211" s="123"/>
      <c r="BL211" s="143">
        <f t="shared" si="354"/>
        <v>0</v>
      </c>
      <c r="BM211" s="123"/>
      <c r="BN211" s="143">
        <f t="shared" si="355"/>
        <v>0</v>
      </c>
      <c r="BO211" s="123"/>
      <c r="BP211" s="143">
        <f t="shared" si="356"/>
        <v>0</v>
      </c>
      <c r="BQ211" s="123"/>
      <c r="BR211" s="123"/>
      <c r="BS211" s="123"/>
      <c r="BT211" s="143">
        <f t="shared" si="357"/>
        <v>0</v>
      </c>
      <c r="BU211" s="123"/>
      <c r="BV211" s="123"/>
      <c r="BW211" s="123"/>
      <c r="BX211" s="143">
        <f t="shared" si="358"/>
        <v>0</v>
      </c>
      <c r="BY211" s="123"/>
      <c r="BZ211" s="143">
        <f t="shared" si="359"/>
        <v>0</v>
      </c>
      <c r="CA211" s="123"/>
      <c r="CB211" s="143">
        <f t="shared" si="360"/>
        <v>0</v>
      </c>
      <c r="CC211" s="123"/>
      <c r="CD211" s="146">
        <f t="shared" si="361"/>
        <v>0</v>
      </c>
      <c r="CE211" s="123"/>
      <c r="CF211" s="143">
        <f t="shared" si="362"/>
        <v>0</v>
      </c>
      <c r="CG211" s="132"/>
      <c r="CH211" s="143">
        <f t="shared" si="363"/>
        <v>0</v>
      </c>
      <c r="CI211" s="123"/>
      <c r="CJ211" s="127"/>
      <c r="CK211" s="123"/>
      <c r="CL211" s="123"/>
      <c r="CM211" s="130"/>
      <c r="CN211" s="143">
        <f t="shared" si="364"/>
        <v>0</v>
      </c>
      <c r="CO211" s="123"/>
      <c r="CP211" s="143">
        <f t="shared" si="365"/>
        <v>0</v>
      </c>
      <c r="CQ211" s="123"/>
      <c r="CR211" s="143">
        <f t="shared" si="366"/>
        <v>0</v>
      </c>
      <c r="CS211" s="123"/>
      <c r="CT211" s="143">
        <f t="shared" si="367"/>
        <v>0</v>
      </c>
      <c r="CU211" s="127"/>
      <c r="CV211" s="127"/>
      <c r="CW211" s="126">
        <f t="shared" si="294"/>
        <v>22</v>
      </c>
      <c r="CX211" s="126">
        <f t="shared" si="294"/>
        <v>12933670.918037759</v>
      </c>
    </row>
    <row r="212" spans="1:102" ht="63" x14ac:dyDescent="0.25">
      <c r="A212" s="91"/>
      <c r="B212" s="116">
        <v>180</v>
      </c>
      <c r="C212" s="160" t="s">
        <v>513</v>
      </c>
      <c r="D212" s="148" t="s">
        <v>514</v>
      </c>
      <c r="E212" s="95">
        <v>28004</v>
      </c>
      <c r="F212" s="96">
        <v>29405</v>
      </c>
      <c r="G212" s="149">
        <v>0.38</v>
      </c>
      <c r="H212" s="107">
        <v>1</v>
      </c>
      <c r="I212" s="108"/>
      <c r="J212" s="108"/>
      <c r="K212" s="108"/>
      <c r="L212" s="63"/>
      <c r="M212" s="213">
        <v>1.4</v>
      </c>
      <c r="N212" s="213">
        <v>1.68</v>
      </c>
      <c r="O212" s="213">
        <v>2.23</v>
      </c>
      <c r="P212" s="214">
        <v>2.57</v>
      </c>
      <c r="Q212" s="122">
        <v>18</v>
      </c>
      <c r="R212" s="123">
        <f>(Q212/12*2*$E212*$G212*$H212*$M212*$R$11)+(Q212/12*10*$F212*$G212*$H212*$M212*$R$11)</f>
        <v>307280.91240000003</v>
      </c>
      <c r="S212" s="124">
        <v>1</v>
      </c>
      <c r="T212" s="125">
        <f>(S212/12*2*$E212*$G212*$H212*$M212*$R$11)+(S212/12*10*$F212*$G212*$H212*$M212*$R$11)</f>
        <v>17071.161799999998</v>
      </c>
      <c r="U212" s="123">
        <v>1</v>
      </c>
      <c r="V212" s="123">
        <f>(U212/12*2*$E212*$G212*$H212*$M212*$V$11)+(U212/12*10*$F212*$G212*$H212*$M212*$V$12)</f>
        <v>20814.398033333327</v>
      </c>
      <c r="W212" s="123"/>
      <c r="X212" s="126">
        <f>(W212/12*2*$E212*$G212*$H212*$M212*$X$11)+(W212/12*10*$F212*$G212*$H212*$M212*$X$12)</f>
        <v>0</v>
      </c>
      <c r="Y212" s="123">
        <v>1</v>
      </c>
      <c r="Z212" s="123">
        <f>(Y212/12*2*$E212*$G212*$H212*$M212*$Z$11)+(Y212/12*10*$F212*$G212*$H212*$M212*$Z$12)</f>
        <v>20814.398033333327</v>
      </c>
      <c r="AA212" s="123"/>
      <c r="AB212" s="123">
        <f>(AA212/12*2*$E212*$G212*$H212*$M212*$AB$11)+(AA212/12*10*$F212*$G212*$H212*$M212*$AB$11)</f>
        <v>0</v>
      </c>
      <c r="AC212" s="123"/>
      <c r="AD212" s="123"/>
      <c r="AE212" s="123"/>
      <c r="AF212" s="127">
        <f>(AE212/12*2*$E212*$G212*$H212*$M212*$AF$11)+(AE212/12*10*$F212*$G212*$H212*$M212*$AF$11)</f>
        <v>0</v>
      </c>
      <c r="AG212" s="123">
        <v>3</v>
      </c>
      <c r="AH212" s="126">
        <f>(AG212/12*2*$E212*$G212*$H212*$M212*$AH$11)+(AG212/12*10*$F212*$G212*$H212*$M212*$AH$11)</f>
        <v>51213.485399999998</v>
      </c>
      <c r="AI212" s="130"/>
      <c r="AJ212" s="123">
        <f t="shared" ref="AJ212:AJ215" si="368">(AI212/12*2*$E212*$G212*$H212*$M212*$AJ$11)+(AI212/12*5*$F212*$G212*$H212*$M212*$AJ$12)+(AI212/12*5*$F212*$G212*$H212*$M212*$AJ$13)</f>
        <v>0</v>
      </c>
      <c r="AK212" s="123"/>
      <c r="AL212" s="123">
        <f t="shared" ref="AL212:AL215" si="369">(AK212/12*2*$E212*$G212*$H212*$N212*$AL$11)+(AK212/12*5*$F212*$G212*$H212*$N212*$AL$12)++(AK212/12*5*$F212*$G212*$H212*$N212*$AL$13)</f>
        <v>0</v>
      </c>
      <c r="AM212" s="129">
        <v>0</v>
      </c>
      <c r="AN212" s="123">
        <f>(AM212/12*2*$E212*$G212*$H212*$N212*$AN$11)+(AM212/12*10*$F212*$G212*$H212*$N212*$AN$12)</f>
        <v>0</v>
      </c>
      <c r="AO212" s="130"/>
      <c r="AP212" s="127">
        <f>(AO212/12*2*$E212*$G212*$H212*$N212*$AP$11)+(AO212/12*10*$F212*$G212*$H212*$N212*$AP$11)</f>
        <v>0</v>
      </c>
      <c r="AQ212" s="127">
        <v>0</v>
      </c>
      <c r="AR212" s="127">
        <v>0</v>
      </c>
      <c r="AS212" s="123"/>
      <c r="AT212" s="123">
        <f>(AS212/12*2*$E212*$G212*$H212*$M212*$AT$11)+(AS212/12*10*$F212*$G212*$H212*$M212*$AT$11)</f>
        <v>0</v>
      </c>
      <c r="AU212" s="123"/>
      <c r="AV212" s="126">
        <f>(AU212/12*2*$E212*$G212*$H212*$M212*$AV$11)+(AU212/12*10*$F212*$G212*$H212*$M212*$AV$12)</f>
        <v>0</v>
      </c>
      <c r="AW212" s="123"/>
      <c r="AX212" s="123">
        <f>(AW212/12*2*$E212*$G212*$H212*$M212*$AX$11)+(AW212/12*10*$F212*$G212*$H212*$M212*$AX$12)</f>
        <v>0</v>
      </c>
      <c r="AY212" s="123">
        <v>0</v>
      </c>
      <c r="AZ212" s="123">
        <f>(AY212/12*2*$E212*$G212*$H212*$N212*$AZ$11)+(AY212/12*10*$F212*$G212*$H212*$N212*$AZ$11)</f>
        <v>0</v>
      </c>
      <c r="BA212" s="123"/>
      <c r="BB212" s="123">
        <f>(BA212/12*2*$E212*$G212*$H212*$N212*$BB$11)+(BA212/12*10*$F212*$G212*$H212*$N212*$BB$12)</f>
        <v>0</v>
      </c>
      <c r="BC212" s="123"/>
      <c r="BD212" s="126">
        <f t="shared" si="271"/>
        <v>0</v>
      </c>
      <c r="BE212" s="123"/>
      <c r="BF212" s="123">
        <f>(BE212/12*10*$F212*$G212*$H212*$N212*$BF$12)</f>
        <v>0</v>
      </c>
      <c r="BG212" s="123"/>
      <c r="BH212" s="123">
        <f>(BG212/12*2*$E212*$G212*$H212*$N212*$BH$11)+(BG212/12*10*$F212*$G212*$H212*$N212*$BH$11)</f>
        <v>0</v>
      </c>
      <c r="BI212" s="123"/>
      <c r="BJ212" s="126">
        <f>(BI212/12*2*$E212*$G212*$H212*$N212*$BJ$11)+(BI212/12*10*$F212*$G212*$H212*$N212*$BJ$11)</f>
        <v>0</v>
      </c>
      <c r="BK212" s="123"/>
      <c r="BL212" s="127">
        <f>(BK212/12*2*$E212*$G212*$H212*$N212*$BL$11)+(BK212/12*10*$F212*$G212*$H212*$N212*$BL$11)</f>
        <v>0</v>
      </c>
      <c r="BM212" s="123"/>
      <c r="BN212" s="123">
        <f>(BM212/12*2*$E212*$G212*$H212*$M212*$BN$11)+(BM212/12*10*$F212*$G212*$H212*$M212*$BN$11)</f>
        <v>0</v>
      </c>
      <c r="BO212" s="123"/>
      <c r="BP212" s="123">
        <f>(BO212/12*2*$E212*$G212*$H212*$M212*$BP$11)+(BO212/12*10*$F212*$G212*$H212*$M212*$BP$12)</f>
        <v>0</v>
      </c>
      <c r="BQ212" s="123"/>
      <c r="BR212" s="123">
        <f>(BQ212/12*2*$E212*$G212*$H212*$M212*$BR$11)+(BQ212/12*10*$F212*$G212*$H212*$M212*$BR$11)</f>
        <v>0</v>
      </c>
      <c r="BS212" s="123"/>
      <c r="BT212" s="123">
        <f>(BS212/12*2*$E212*$G212*$H212*$N212*$BT$11)+(BS212/12*10*$F212*$G212*$H212*$N212*$BT$11)</f>
        <v>0</v>
      </c>
      <c r="BU212" s="123"/>
      <c r="BV212" s="126">
        <f>(BU212/12*2*$E212*$G212*$H212*$M212*$BV$11)+(BU212/12*10*$F212*$G212*$H212*$M212*$BV$11)</f>
        <v>0</v>
      </c>
      <c r="BW212" s="123"/>
      <c r="BX212" s="123">
        <f>(BW212/12*2*$E212*$G212*$H212*$M212*$BX$11)+(BW212/12*10*$F212*$G212*$H212*$M212*$BX$11)</f>
        <v>0</v>
      </c>
      <c r="BY212" s="123"/>
      <c r="BZ212" s="123">
        <f>(BY212/12*2*$E212*$G212*$H212*$M212*$BZ$11)+(BY212/12*10*$F212*$G212*$H212*$M212*$BZ$11)</f>
        <v>0</v>
      </c>
      <c r="CA212" s="123"/>
      <c r="CB212" s="123">
        <f>(CA212/12*2*$E212*$G212*$H212*$M212*$CB$11)+(CA212/12*10*$F212*$G212*$H212*$M212*$CB$11)</f>
        <v>0</v>
      </c>
      <c r="CC212" s="123"/>
      <c r="CD212" s="123">
        <f>(CC212/12*2*$E212*$G212*$H212*$M212*$CD$11)+(CC212/12*10*$F212*$G212*$H212*$M212*$CD$11)</f>
        <v>0</v>
      </c>
      <c r="CE212" s="123"/>
      <c r="CF212" s="123">
        <f>(CE212/12*10*$F212*$G212*$H212*$N212*$CF$11)</f>
        <v>0</v>
      </c>
      <c r="CG212" s="132"/>
      <c r="CH212" s="123">
        <f>(CG212/12*2*$E212*$G212*$H212*$N212*$CH$11)+(CG212/12*10*$F212*$G212*$H212*$N212*$CH$11)</f>
        <v>0</v>
      </c>
      <c r="CI212" s="123"/>
      <c r="CJ212" s="127"/>
      <c r="CK212" s="123"/>
      <c r="CL212" s="123">
        <f>(CK212/12*2*$E212*$G212*$H212*$N212*$CL$11)+(CK212/12*10*$F212*$G212*$H212*$N212*$CL$12)</f>
        <v>0</v>
      </c>
      <c r="CM212" s="130"/>
      <c r="CN212" s="123">
        <f>(CM212/12*2*$E212*$G212*$H212*$N212*$CN$11)+(CM212/12*10*$F212*$G212*$H212*$N212*$CN$11)</f>
        <v>0</v>
      </c>
      <c r="CO212" s="123"/>
      <c r="CP212" s="123">
        <f>(CO212/12*2*$E212*$G212*$H212*$N212*$CP$11)+(CO212/12*10*$F212*$G212*$H212*$N212*$CP$11)</f>
        <v>0</v>
      </c>
      <c r="CQ212" s="123"/>
      <c r="CR212" s="123">
        <f>(CQ212/12*2*$E212*$G212*$H212*$O212*$CR$11)+(CQ212/12*10*$F212*$G212*$H212*$O212*$CR$11)</f>
        <v>0</v>
      </c>
      <c r="CS212" s="123"/>
      <c r="CT212" s="133">
        <f>(CS212/12*2*$E212*$G212*$H212*$P212*$CT$11)+(CS212/12*10*$F212*$G212*$H212*$P212*$CT$11)</f>
        <v>0</v>
      </c>
      <c r="CU212" s="127"/>
      <c r="CV212" s="123">
        <f>(CU212*$E212*$G212*$H212*$M212*CV$11)/12*6+(CU212*$E212*$G212*$H212*1*CV$11)/12*6</f>
        <v>0</v>
      </c>
      <c r="CW212" s="126">
        <f t="shared" si="294"/>
        <v>24</v>
      </c>
      <c r="CX212" s="126">
        <f t="shared" si="294"/>
        <v>417194.35566666664</v>
      </c>
    </row>
    <row r="213" spans="1:102" ht="63" x14ac:dyDescent="0.25">
      <c r="A213" s="91"/>
      <c r="B213" s="116">
        <v>181</v>
      </c>
      <c r="C213" s="160" t="s">
        <v>515</v>
      </c>
      <c r="D213" s="148" t="s">
        <v>516</v>
      </c>
      <c r="E213" s="95">
        <v>28004</v>
      </c>
      <c r="F213" s="96">
        <v>29405</v>
      </c>
      <c r="G213" s="149">
        <v>1.29</v>
      </c>
      <c r="H213" s="107">
        <v>1</v>
      </c>
      <c r="I213" s="108"/>
      <c r="J213" s="108"/>
      <c r="K213" s="108"/>
      <c r="L213" s="63"/>
      <c r="M213" s="213">
        <v>1.4</v>
      </c>
      <c r="N213" s="213">
        <v>1.68</v>
      </c>
      <c r="O213" s="213">
        <v>2.23</v>
      </c>
      <c r="P213" s="214">
        <v>2.57</v>
      </c>
      <c r="Q213" s="122">
        <v>180</v>
      </c>
      <c r="R213" s="123">
        <f>(Q213/12*2*$E213*$G213*$H213*$M213*$R$11)+(Q213/12*10*$F213*$G213*$H213*$M213*$R$11)</f>
        <v>10431378.342</v>
      </c>
      <c r="S213" s="124">
        <v>1</v>
      </c>
      <c r="T213" s="125">
        <f>(S213/12*2*$E213*$G213*$H213*$M213*$R$11)+(S213/12*10*$F213*$G213*$H213*$M213*$R$11)</f>
        <v>57952.101900000001</v>
      </c>
      <c r="U213" s="123">
        <v>15</v>
      </c>
      <c r="V213" s="123">
        <f>(U213/12*2*$E213*$G213*$H213*$M213*$V$11)+(U213/12*10*$F213*$G213*$H213*$M213*$V$12)</f>
        <v>1059891.0577500002</v>
      </c>
      <c r="W213" s="123"/>
      <c r="X213" s="126">
        <f>(W213/12*2*$E213*$G213*$H213*$M213*$X$11)+(W213/12*10*$F213*$G213*$H213*$M213*$X$12)</f>
        <v>0</v>
      </c>
      <c r="Y213" s="123">
        <v>27</v>
      </c>
      <c r="Z213" s="123">
        <f>(Y213/12*2*$E213*$G213*$H213*$M213*$Z$11)+(Y213/12*10*$F213*$G213*$H213*$M213*$Z$12)</f>
        <v>1907803.9039499997</v>
      </c>
      <c r="AA213" s="123"/>
      <c r="AB213" s="123">
        <f>(AA213/12*2*$E213*$G213*$H213*$M213*$AB$11)+(AA213/12*10*$F213*$G213*$H213*$M213*$AB$11)</f>
        <v>0</v>
      </c>
      <c r="AC213" s="123"/>
      <c r="AD213" s="123"/>
      <c r="AE213" s="123"/>
      <c r="AF213" s="127">
        <f>(AE213/12*2*$E213*$G213*$H213*$M213*$AF$11)+(AE213/12*10*$F213*$G213*$H213*$M213*$AF$11)</f>
        <v>0</v>
      </c>
      <c r="AG213" s="123">
        <v>7</v>
      </c>
      <c r="AH213" s="126">
        <f>(AG213/12*2*$E213*$G213*$H213*$M213*$AH$11)+(AG213/12*10*$F213*$G213*$H213*$M213*$AH$11)</f>
        <v>405664.71330000006</v>
      </c>
      <c r="AI213" s="130"/>
      <c r="AJ213" s="123">
        <f t="shared" si="368"/>
        <v>0</v>
      </c>
      <c r="AK213" s="123"/>
      <c r="AL213" s="123">
        <f t="shared" si="369"/>
        <v>0</v>
      </c>
      <c r="AM213" s="129">
        <v>1</v>
      </c>
      <c r="AN213" s="123">
        <f>(AM213/12*2*$E213*$G213*$H213*$N213*$AN$11)+(AM213/12*10*$F213*$G213*$H213*$N213*$AN$12)</f>
        <v>84791.284619999991</v>
      </c>
      <c r="AO213" s="130"/>
      <c r="AP213" s="127">
        <f>(AO213/12*2*$E213*$G213*$H213*$N213*$AP$11)+(AO213/12*10*$F213*$G213*$H213*$N213*$AP$11)</f>
        <v>0</v>
      </c>
      <c r="AQ213" s="127">
        <v>0</v>
      </c>
      <c r="AR213" s="127">
        <v>0</v>
      </c>
      <c r="AS213" s="123"/>
      <c r="AT213" s="123">
        <f>(AS213/12*2*$E213*$G213*$H213*$M213*$AT$11)+(AS213/12*10*$F213*$G213*$H213*$M213*$AT$11)</f>
        <v>0</v>
      </c>
      <c r="AU213" s="123"/>
      <c r="AV213" s="126">
        <f>(AU213/12*2*$E213*$G213*$H213*$M213*$AV$11)+(AU213/12*10*$F213*$G213*$H213*$M213*$AV$12)</f>
        <v>0</v>
      </c>
      <c r="AW213" s="123"/>
      <c r="AX213" s="123">
        <f>(AW213/12*2*$E213*$G213*$H213*$M213*$AX$11)+(AW213/12*10*$F213*$G213*$H213*$M213*$AX$12)</f>
        <v>0</v>
      </c>
      <c r="AY213" s="123">
        <v>0</v>
      </c>
      <c r="AZ213" s="123">
        <f>(AY213/12*2*$E213*$G213*$H213*$N213*$AZ$11)+(AY213/12*10*$F213*$G213*$H213*$N213*$AZ$11)</f>
        <v>0</v>
      </c>
      <c r="BA213" s="123"/>
      <c r="BB213" s="123">
        <f>(BA213/12*2*$E213*$G213*$H213*$N213*$BB$11)+(BA213/12*10*$F213*$G213*$H213*$N213*$BB$12)</f>
        <v>0</v>
      </c>
      <c r="BC213" s="123"/>
      <c r="BD213" s="126">
        <f t="shared" si="271"/>
        <v>0</v>
      </c>
      <c r="BE213" s="123"/>
      <c r="BF213" s="123">
        <f>(BE213/12*10*$F213*$G213*$H213*$N213*$BF$12)</f>
        <v>0</v>
      </c>
      <c r="BG213" s="123"/>
      <c r="BH213" s="123">
        <f>(BG213/12*2*$E213*$G213*$H213*$N213*$BH$11)+(BG213/12*10*$F213*$G213*$H213*$N213*$BH$11)</f>
        <v>0</v>
      </c>
      <c r="BI213" s="123"/>
      <c r="BJ213" s="126">
        <f>(BI213/12*2*$E213*$G213*$H213*$N213*$BJ$11)+(BI213/12*10*$F213*$G213*$H213*$N213*$BJ$11)</f>
        <v>0</v>
      </c>
      <c r="BK213" s="123"/>
      <c r="BL213" s="127">
        <f>(BK213/12*2*$E213*$G213*$H213*$N213*$BL$11)+(BK213/12*10*$F213*$G213*$H213*$N213*$BL$11)</f>
        <v>0</v>
      </c>
      <c r="BM213" s="123"/>
      <c r="BN213" s="123">
        <f>(BM213/12*2*$E213*$G213*$H213*$M213*$BN$11)+(BM213/12*10*$F213*$G213*$H213*$M213*$BN$11)</f>
        <v>0</v>
      </c>
      <c r="BO213" s="123"/>
      <c r="BP213" s="123">
        <f>(BO213/12*2*$E213*$G213*$H213*$M213*$BP$11)+(BO213/12*10*$F213*$G213*$H213*$M213*$BP$12)</f>
        <v>0</v>
      </c>
      <c r="BQ213" s="123"/>
      <c r="BR213" s="123">
        <f>(BQ213/12*2*$E213*$G213*$H213*$M213*$BR$11)+(BQ213/12*10*$F213*$G213*$H213*$M213*$BR$11)</f>
        <v>0</v>
      </c>
      <c r="BS213" s="123"/>
      <c r="BT213" s="123">
        <f>(BS213/12*2*$E213*$G213*$H213*$N213*$BT$11)+(BS213/12*10*$F213*$G213*$H213*$N213*$BT$11)</f>
        <v>0</v>
      </c>
      <c r="BU213" s="123"/>
      <c r="BV213" s="126">
        <f>(BU213/12*2*$E213*$G213*$H213*$M213*$BV$11)+(BU213/12*10*$F213*$G213*$H213*$M213*$BV$11)</f>
        <v>0</v>
      </c>
      <c r="BW213" s="123"/>
      <c r="BX213" s="123">
        <f>(BW213/12*2*$E213*$G213*$H213*$M213*$BX$11)+(BW213/12*10*$F213*$G213*$H213*$M213*$BX$11)</f>
        <v>0</v>
      </c>
      <c r="BY213" s="123"/>
      <c r="BZ213" s="123">
        <f>(BY213/12*2*$E213*$G213*$H213*$M213*$BZ$11)+(BY213/12*10*$F213*$G213*$H213*$M213*$BZ$11)</f>
        <v>0</v>
      </c>
      <c r="CA213" s="123"/>
      <c r="CB213" s="123">
        <f>(CA213/12*2*$E213*$G213*$H213*$M213*$CB$11)+(CA213/12*10*$F213*$G213*$H213*$M213*$CB$11)</f>
        <v>0</v>
      </c>
      <c r="CC213" s="123"/>
      <c r="CD213" s="123">
        <f>(CC213/12*2*$E213*$G213*$H213*$M213*$CD$11)+(CC213/12*10*$F213*$G213*$H213*$M213*$CD$11)</f>
        <v>0</v>
      </c>
      <c r="CE213" s="123"/>
      <c r="CF213" s="123">
        <f>(CE213/12*10*$F213*$G213*$H213*$N213*$CF$11)</f>
        <v>0</v>
      </c>
      <c r="CG213" s="132"/>
      <c r="CH213" s="123">
        <f>(CG213/12*2*$E213*$G213*$H213*$N213*$CH$11)+(CG213/12*10*$F213*$G213*$H213*$N213*$CH$11)</f>
        <v>0</v>
      </c>
      <c r="CI213" s="123"/>
      <c r="CJ213" s="127"/>
      <c r="CK213" s="123"/>
      <c r="CL213" s="123">
        <f>(CK213/12*2*$E213*$G213*$H213*$N213*$CL$11)+(CK213/12*10*$F213*$G213*$H213*$N213*$CL$12)</f>
        <v>0</v>
      </c>
      <c r="CM213" s="130"/>
      <c r="CN213" s="123">
        <f>(CM213/12*2*$E213*$G213*$H213*$N213*$CN$11)+(CM213/12*10*$F213*$G213*$H213*$N213*$CN$11)</f>
        <v>0</v>
      </c>
      <c r="CO213" s="123"/>
      <c r="CP213" s="123">
        <f>(CO213/12*2*$E213*$G213*$H213*$N213*$CP$11)+(CO213/12*10*$F213*$G213*$H213*$N213*$CP$11)</f>
        <v>0</v>
      </c>
      <c r="CQ213" s="123"/>
      <c r="CR213" s="123">
        <f>(CQ213/12*2*$E213*$G213*$H213*$O213*$CR$11)+(CQ213/12*10*$F213*$G213*$H213*$O213*$CR$11)</f>
        <v>0</v>
      </c>
      <c r="CS213" s="123"/>
      <c r="CT213" s="133">
        <f>(CS213/12*2*$E213*$G213*$H213*$P213*$CT$11)+(CS213/12*10*$F213*$G213*$H213*$P213*$CT$11)</f>
        <v>0</v>
      </c>
      <c r="CU213" s="127"/>
      <c r="CV213" s="123">
        <f>(CU213*$E213*$G213*$H213*$M213*CV$11)/12*6+(CU213*$E213*$G213*$H213*1*CV$11)/12*6</f>
        <v>0</v>
      </c>
      <c r="CW213" s="126">
        <f t="shared" si="294"/>
        <v>231</v>
      </c>
      <c r="CX213" s="126">
        <f t="shared" si="294"/>
        <v>13947481.403520001</v>
      </c>
    </row>
    <row r="214" spans="1:102" ht="63" x14ac:dyDescent="0.25">
      <c r="A214" s="91"/>
      <c r="B214" s="116">
        <v>182</v>
      </c>
      <c r="C214" s="160" t="s">
        <v>517</v>
      </c>
      <c r="D214" s="148" t="s">
        <v>518</v>
      </c>
      <c r="E214" s="95">
        <v>28004</v>
      </c>
      <c r="F214" s="96">
        <v>29405</v>
      </c>
      <c r="G214" s="149">
        <v>2.75</v>
      </c>
      <c r="H214" s="107">
        <v>1</v>
      </c>
      <c r="I214" s="108"/>
      <c r="J214" s="108"/>
      <c r="K214" s="108"/>
      <c r="L214" s="63"/>
      <c r="M214" s="213">
        <v>1.4</v>
      </c>
      <c r="N214" s="213">
        <v>1.68</v>
      </c>
      <c r="O214" s="213">
        <v>2.23</v>
      </c>
      <c r="P214" s="214">
        <v>2.57</v>
      </c>
      <c r="Q214" s="122">
        <v>15</v>
      </c>
      <c r="R214" s="123">
        <f>(Q214/12*2*$E214*$G214*$H214*$M214*$R$11)+(Q214/12*10*$F214*$G214*$H214*$M214*$R$11)</f>
        <v>1853119.5375000003</v>
      </c>
      <c r="S214" s="124"/>
      <c r="T214" s="125">
        <f>(S214/12*2*$E214*$G214*$H214*$M214*$R$11)+(S214/12*10*$F214*$G214*$H214*$M214*$R$11)</f>
        <v>0</v>
      </c>
      <c r="U214" s="123">
        <v>13</v>
      </c>
      <c r="V214" s="123">
        <f>(U214/12*2*$E214*$G214*$H214*$M214*$V$11)+(U214/12*10*$F214*$G214*$H214*$M214*$V$12)</f>
        <v>1958196.6570833332</v>
      </c>
      <c r="W214" s="123"/>
      <c r="X214" s="126">
        <f>(W214/12*2*$E214*$G214*$H214*$M214*$X$11)+(W214/12*10*$F214*$G214*$H214*$M214*$X$12)</f>
        <v>0</v>
      </c>
      <c r="Y214" s="123">
        <v>16</v>
      </c>
      <c r="Z214" s="123">
        <f>(Y214/12*2*$E214*$G214*$H214*$M214*$Z$11)+(Y214/12*10*$F214*$G214*$H214*$M214*$Z$12)</f>
        <v>2410088.1933333329</v>
      </c>
      <c r="AA214" s="123"/>
      <c r="AB214" s="123">
        <f>(AA214/12*2*$E214*$G214*$H214*$M214*$AB$11)+(AA214/12*10*$F214*$G214*$H214*$M214*$AB$11)</f>
        <v>0</v>
      </c>
      <c r="AC214" s="123"/>
      <c r="AD214" s="123"/>
      <c r="AE214" s="123">
        <v>5</v>
      </c>
      <c r="AF214" s="123">
        <f>(AE214/12*2*$E214*$G214*$H214*$M214*$AF$11)+(AE214/12*10*$F214*$G214*$H214*$M214*$AF$11)</f>
        <v>617706.51250000007</v>
      </c>
      <c r="AG214" s="135">
        <v>0</v>
      </c>
      <c r="AH214" s="136">
        <f>(AG214/12*2*$E214*$G214*$H214*$M214*$AH$11)+(AG214/12*10*$F214*$G214*$H214*$M214*$AH$11)</f>
        <v>0</v>
      </c>
      <c r="AI214" s="123"/>
      <c r="AJ214" s="123">
        <f t="shared" si="368"/>
        <v>0</v>
      </c>
      <c r="AK214" s="123"/>
      <c r="AL214" s="123">
        <f t="shared" si="369"/>
        <v>0</v>
      </c>
      <c r="AM214" s="129">
        <v>2</v>
      </c>
      <c r="AN214" s="123">
        <f>(AM214/12*2*$E214*$G214*$H214*$N214*$AN$11)+(AM214/12*10*$F214*$G214*$H214*$N214*$AN$12)</f>
        <v>361513.22899999999</v>
      </c>
      <c r="AO214" s="130"/>
      <c r="AP214" s="127">
        <f>(AO214/12*2*$E214*$G214*$H214*$N214*$AP$11)+(AO214/12*10*$F214*$G214*$H214*$N214*$AP$11)</f>
        <v>0</v>
      </c>
      <c r="AQ214" s="127">
        <v>0</v>
      </c>
      <c r="AR214" s="127">
        <v>0</v>
      </c>
      <c r="AS214" s="123"/>
      <c r="AT214" s="123">
        <f>(AS214/12*2*$E214*$G214*$H214*$M214*$AT$11)+(AS214/12*10*$F214*$G214*$H214*$M214*$AT$11)</f>
        <v>0</v>
      </c>
      <c r="AU214" s="123"/>
      <c r="AV214" s="126">
        <f>(AU214/12*2*$E214*$G214*$H214*$M214*$AV$11)+(AU214/12*10*$F214*$G214*$H214*$M214*$AV$12)</f>
        <v>0</v>
      </c>
      <c r="AW214" s="123"/>
      <c r="AX214" s="123">
        <f>(AW214/12*2*$E214*$G214*$H214*$M214*$AX$11)+(AW214/12*10*$F214*$G214*$H214*$M214*$AX$12)</f>
        <v>0</v>
      </c>
      <c r="AY214" s="123">
        <v>0</v>
      </c>
      <c r="AZ214" s="123">
        <f>(AY214/12*2*$E214*$G214*$H214*$N214*$AZ$11)+(AY214/12*10*$F214*$G214*$H214*$N214*$AZ$11)</f>
        <v>0</v>
      </c>
      <c r="BA214" s="123"/>
      <c r="BB214" s="123">
        <f>(BA214/12*2*$E214*$G214*$H214*$N214*$BB$11)+(BA214/12*10*$F214*$G214*$H214*$N214*$BB$12)</f>
        <v>0</v>
      </c>
      <c r="BC214" s="123"/>
      <c r="BD214" s="126">
        <f t="shared" si="271"/>
        <v>0</v>
      </c>
      <c r="BE214" s="123"/>
      <c r="BF214" s="123">
        <f>(BE214/12*10*$F214*$G214*$H214*$N214*$BF$12)</f>
        <v>0</v>
      </c>
      <c r="BG214" s="123"/>
      <c r="BH214" s="123">
        <f>(BG214/12*2*$E214*$G214*$H214*$N214*$BH$11)+(BG214/12*10*$F214*$G214*$H214*$N214*$BH$11)</f>
        <v>0</v>
      </c>
      <c r="BI214" s="123"/>
      <c r="BJ214" s="126">
        <f>(BI214/12*2*$E214*$G214*$H214*$N214*$BJ$11)+(BI214/12*10*$F214*$G214*$H214*$N214*$BJ$11)</f>
        <v>0</v>
      </c>
      <c r="BK214" s="123"/>
      <c r="BL214" s="127">
        <f>(BK214/12*2*$E214*$G214*$H214*$N214*$BL$11)+(BK214/12*10*$F214*$G214*$H214*$N214*$BL$11)</f>
        <v>0</v>
      </c>
      <c r="BM214" s="123"/>
      <c r="BN214" s="123">
        <f>(BM214/12*2*$E214*$G214*$H214*$M214*$BN$11)+(BM214/12*10*$F214*$G214*$H214*$M214*$BN$11)</f>
        <v>0</v>
      </c>
      <c r="BO214" s="123"/>
      <c r="BP214" s="123">
        <f>(BO214/12*2*$E214*$G214*$H214*$M214*$BP$11)+(BO214/12*10*$F214*$G214*$H214*$M214*$BP$12)</f>
        <v>0</v>
      </c>
      <c r="BQ214" s="123"/>
      <c r="BR214" s="123">
        <f>(BQ214/12*2*$E214*$G214*$H214*$M214*$BR$11)+(BQ214/12*10*$F214*$G214*$H214*$M214*$BR$11)</f>
        <v>0</v>
      </c>
      <c r="BS214" s="123"/>
      <c r="BT214" s="123">
        <f>(BS214/12*2*$E214*$G214*$H214*$N214*$BT$11)+(BS214/12*10*$F214*$G214*$H214*$N214*$BT$11)</f>
        <v>0</v>
      </c>
      <c r="BU214" s="123"/>
      <c r="BV214" s="126">
        <f>(BU214/12*2*$E214*$G214*$H214*$M214*$BV$11)+(BU214/12*10*$F214*$G214*$H214*$M214*$BV$11)</f>
        <v>0</v>
      </c>
      <c r="BW214" s="123"/>
      <c r="BX214" s="123">
        <f>(BW214/12*2*$E214*$G214*$H214*$M214*$BX$11)+(BW214/12*10*$F214*$G214*$H214*$M214*$BX$11)</f>
        <v>0</v>
      </c>
      <c r="BY214" s="123"/>
      <c r="BZ214" s="123">
        <f>(BY214/12*2*$E214*$G214*$H214*$M214*$BZ$11)+(BY214/12*10*$F214*$G214*$H214*$M214*$BZ$11)</f>
        <v>0</v>
      </c>
      <c r="CA214" s="123"/>
      <c r="CB214" s="123">
        <f>(CA214/12*2*$E214*$G214*$H214*$M214*$CB$11)+(CA214/12*10*$F214*$G214*$H214*$M214*$CB$11)</f>
        <v>0</v>
      </c>
      <c r="CC214" s="123"/>
      <c r="CD214" s="123">
        <f>(CC214/12*2*$E214*$G214*$H214*$M214*$CD$11)+(CC214/12*10*$F214*$G214*$H214*$M214*$CD$11)</f>
        <v>0</v>
      </c>
      <c r="CE214" s="123"/>
      <c r="CF214" s="123">
        <f>(CE214/12*10*$F214*$G214*$H214*$N214*$CF$11)</f>
        <v>0</v>
      </c>
      <c r="CG214" s="132"/>
      <c r="CH214" s="123">
        <f>(CG214/12*2*$E214*$G214*$H214*$N214*$CH$11)+(CG214/12*10*$F214*$G214*$H214*$N214*$CH$11)</f>
        <v>0</v>
      </c>
      <c r="CI214" s="123"/>
      <c r="CJ214" s="127"/>
      <c r="CK214" s="123"/>
      <c r="CL214" s="123">
        <f>(CK214/12*2*$E214*$G214*$H214*$N214*$CL$11)+(CK214/12*10*$F214*$G214*$H214*$N214*$CL$12)</f>
        <v>0</v>
      </c>
      <c r="CM214" s="130"/>
      <c r="CN214" s="123">
        <f>(CM214/12*2*$E214*$G214*$H214*$N214*$CN$11)+(CM214/12*10*$F214*$G214*$H214*$N214*$CN$11)</f>
        <v>0</v>
      </c>
      <c r="CO214" s="123"/>
      <c r="CP214" s="123">
        <f>(CO214/12*2*$E214*$G214*$H214*$N214*$CP$11)+(CO214/12*10*$F214*$G214*$H214*$N214*$CP$11)</f>
        <v>0</v>
      </c>
      <c r="CQ214" s="123"/>
      <c r="CR214" s="123">
        <f>(CQ214/12*2*$E214*$G214*$H214*$O214*$CR$11)+(CQ214/12*10*$F214*$G214*$H214*$O214*$CR$11)</f>
        <v>0</v>
      </c>
      <c r="CS214" s="123"/>
      <c r="CT214" s="133">
        <f>(CS214/12*2*$E214*$G214*$H214*$P214*$CT$11)+(CS214/12*10*$F214*$G214*$H214*$P214*$CT$11)</f>
        <v>0</v>
      </c>
      <c r="CU214" s="127"/>
      <c r="CV214" s="123">
        <f>(CU214*$E214*$G214*$H214*$M214*CV$11)/12*6+(CU214*$E214*$G214*$H214*1*CV$11)/12*6</f>
        <v>0</v>
      </c>
      <c r="CW214" s="126">
        <f t="shared" si="294"/>
        <v>51</v>
      </c>
      <c r="CX214" s="126">
        <f t="shared" si="294"/>
        <v>7200624.1294166669</v>
      </c>
    </row>
    <row r="215" spans="1:102" ht="63" x14ac:dyDescent="0.25">
      <c r="A215" s="91"/>
      <c r="B215" s="116">
        <v>183</v>
      </c>
      <c r="C215" s="160" t="s">
        <v>519</v>
      </c>
      <c r="D215" s="148" t="s">
        <v>520</v>
      </c>
      <c r="E215" s="95">
        <v>28004</v>
      </c>
      <c r="F215" s="96">
        <v>29405</v>
      </c>
      <c r="G215" s="149">
        <v>5.21</v>
      </c>
      <c r="H215" s="107">
        <v>1</v>
      </c>
      <c r="I215" s="108"/>
      <c r="J215" s="108"/>
      <c r="K215" s="108"/>
      <c r="L215" s="63"/>
      <c r="M215" s="213">
        <v>1.4</v>
      </c>
      <c r="N215" s="213">
        <v>1.68</v>
      </c>
      <c r="O215" s="213">
        <v>2.23</v>
      </c>
      <c r="P215" s="214">
        <v>2.57</v>
      </c>
      <c r="Q215" s="122">
        <v>10</v>
      </c>
      <c r="R215" s="123">
        <f>(Q215/12*2*$E215*$G215*$H215*$M215*$R$11)+(Q215/12*10*$F215*$G215*$H215*$M215*$R$11)</f>
        <v>2340546.1310000001</v>
      </c>
      <c r="S215" s="124">
        <v>0</v>
      </c>
      <c r="T215" s="125">
        <f>(S215/12*2*$E215*$G215*$H215*$M215*$R$11)+(S215/12*10*$F215*$G215*$H215*$M215*$R$11)</f>
        <v>0</v>
      </c>
      <c r="U215" s="123">
        <v>6</v>
      </c>
      <c r="V215" s="123">
        <f>(U215/12*2*$E215*$G215*$H215*$M215*$V$11)+(U215/12*10*$F215*$G215*$H215*$M215*$V$12)</f>
        <v>1712258.1118999999</v>
      </c>
      <c r="W215" s="123"/>
      <c r="X215" s="126">
        <f>(W215/12*2*$E215*$G215*$H215*$M215*$X$11)+(W215/12*10*$F215*$G215*$H215*$M215*$X$12)</f>
        <v>0</v>
      </c>
      <c r="Y215" s="123">
        <v>6</v>
      </c>
      <c r="Z215" s="123">
        <f>(Y215/12*2*$E215*$G215*$H215*$M215*$Z$11)+(Y215/12*10*$F215*$G215*$H215*$M215*$Z$12)</f>
        <v>1712258.1118999999</v>
      </c>
      <c r="AA215" s="123"/>
      <c r="AB215" s="123">
        <f>(AA215/12*2*$E215*$G215*$H215*$M215*$AB$11)+(AA215/12*10*$F215*$G215*$H215*$M215*$AB$11)</f>
        <v>0</v>
      </c>
      <c r="AC215" s="123"/>
      <c r="AD215" s="123"/>
      <c r="AE215" s="123"/>
      <c r="AF215" s="127">
        <f>(AE215/12*2*$E215*$G215*$H215*$M215*$AF$11)+(AE215/12*10*$F215*$G215*$H215*$M215*$AF$11)</f>
        <v>0</v>
      </c>
      <c r="AG215" s="123">
        <v>3</v>
      </c>
      <c r="AH215" s="126">
        <f>(AG215/12*2*$E215*$G215*$H215*$M215*$AH$11)+(AG215/12*10*$F215*$G215*$H215*$M215*$AH$11)</f>
        <v>702163.83929999999</v>
      </c>
      <c r="AI215" s="130"/>
      <c r="AJ215" s="123">
        <f t="shared" si="368"/>
        <v>0</v>
      </c>
      <c r="AK215" s="123"/>
      <c r="AL215" s="123">
        <f t="shared" si="369"/>
        <v>0</v>
      </c>
      <c r="AM215" s="129"/>
      <c r="AN215" s="123">
        <f>(AM215/12*2*$E215*$G215*$H215*$N215*$AN$11)+(AM215/12*10*$F215*$G215*$H215*$N215*$AN$12)</f>
        <v>0</v>
      </c>
      <c r="AO215" s="130"/>
      <c r="AP215" s="127">
        <f>(AO215/12*2*$E215*$G215*$H215*$N215*$AP$11)+(AO215/12*10*$F215*$G215*$H215*$N215*$AP$11)</f>
        <v>0</v>
      </c>
      <c r="AQ215" s="127">
        <v>0</v>
      </c>
      <c r="AR215" s="127">
        <v>0</v>
      </c>
      <c r="AS215" s="123"/>
      <c r="AT215" s="123">
        <f>(AS215/12*2*$E215*$G215*$H215*$M215*$AT$11)+(AS215/12*10*$F215*$G215*$H215*$M215*$AT$11)</f>
        <v>0</v>
      </c>
      <c r="AU215" s="123"/>
      <c r="AV215" s="126">
        <f>(AU215/12*2*$E215*$G215*$H215*$M215*$AV$11)+(AU215/12*10*$F215*$G215*$H215*$M215*$AV$12)</f>
        <v>0</v>
      </c>
      <c r="AW215" s="123"/>
      <c r="AX215" s="123">
        <f>(AW215/12*2*$E215*$G215*$H215*$M215*$AX$11)+(AW215/12*10*$F215*$G215*$H215*$M215*$AX$12)</f>
        <v>0</v>
      </c>
      <c r="AY215" s="123">
        <v>0</v>
      </c>
      <c r="AZ215" s="123">
        <f>(AY215/12*2*$E215*$G215*$H215*$N215*$AZ$11)+(AY215/12*10*$F215*$G215*$H215*$N215*$AZ$11)</f>
        <v>0</v>
      </c>
      <c r="BA215" s="123"/>
      <c r="BB215" s="123">
        <f>(BA215/12*2*$E215*$G215*$H215*$N215*$BB$11)+(BA215/12*10*$F215*$G215*$H215*$N215*$BB$12)</f>
        <v>0</v>
      </c>
      <c r="BC215" s="123"/>
      <c r="BD215" s="126">
        <f t="shared" si="271"/>
        <v>0</v>
      </c>
      <c r="BE215" s="123"/>
      <c r="BF215" s="123">
        <f>(BE215/12*10*$F215*$G215*$H215*$N215*$BF$12)</f>
        <v>0</v>
      </c>
      <c r="BG215" s="123"/>
      <c r="BH215" s="123">
        <f>(BG215/12*2*$E215*$G215*$H215*$N215*$BH$11)+(BG215/12*10*$F215*$G215*$H215*$N215*$BH$11)</f>
        <v>0</v>
      </c>
      <c r="BI215" s="123"/>
      <c r="BJ215" s="126">
        <f>(BI215/12*2*$E215*$G215*$H215*$N215*$BJ$11)+(BI215/12*10*$F215*$G215*$H215*$N215*$BJ$11)</f>
        <v>0</v>
      </c>
      <c r="BK215" s="123"/>
      <c r="BL215" s="127">
        <f>(BK215/12*2*$E215*$G215*$H215*$N215*$BL$11)+(BK215/12*10*$F215*$G215*$H215*$N215*$BL$11)</f>
        <v>0</v>
      </c>
      <c r="BM215" s="123"/>
      <c r="BN215" s="123">
        <f>(BM215/12*2*$E215*$G215*$H215*$M215*$BN$11)+(BM215/12*10*$F215*$G215*$H215*$M215*$BN$11)</f>
        <v>0</v>
      </c>
      <c r="BO215" s="123"/>
      <c r="BP215" s="123">
        <f>(BO215/12*2*$E215*$G215*$H215*$M215*$BP$11)+(BO215/12*10*$F215*$G215*$H215*$M215*$BP$12)</f>
        <v>0</v>
      </c>
      <c r="BQ215" s="123"/>
      <c r="BR215" s="123">
        <f>(BQ215/12*2*$E215*$G215*$H215*$M215*$BR$11)+(BQ215/12*10*$F215*$G215*$H215*$M215*$BR$11)</f>
        <v>0</v>
      </c>
      <c r="BS215" s="123"/>
      <c r="BT215" s="123">
        <f>(BS215/12*2*$E215*$G215*$H215*$N215*$BT$11)+(BS215/12*10*$F215*$G215*$H215*$N215*$BT$11)</f>
        <v>0</v>
      </c>
      <c r="BU215" s="123"/>
      <c r="BV215" s="126">
        <f>(BU215/12*2*$E215*$G215*$H215*$M215*$BV$11)+(BU215/12*10*$F215*$G215*$H215*$M215*$BV$11)</f>
        <v>0</v>
      </c>
      <c r="BW215" s="123"/>
      <c r="BX215" s="123">
        <f>(BW215/12*2*$E215*$G215*$H215*$M215*$BX$11)+(BW215/12*10*$F215*$G215*$H215*$M215*$BX$11)</f>
        <v>0</v>
      </c>
      <c r="BY215" s="123"/>
      <c r="BZ215" s="123">
        <f>(BY215/12*2*$E215*$G215*$H215*$M215*$BZ$11)+(BY215/12*10*$F215*$G215*$H215*$M215*$BZ$11)</f>
        <v>0</v>
      </c>
      <c r="CA215" s="123"/>
      <c r="CB215" s="123">
        <f>(CA215/12*2*$E215*$G215*$H215*$M215*$CB$11)+(CA215/12*10*$F215*$G215*$H215*$M215*$CB$11)</f>
        <v>0</v>
      </c>
      <c r="CC215" s="123"/>
      <c r="CD215" s="123">
        <f>(CC215/12*2*$E215*$G215*$H215*$M215*$CD$11)+(CC215/12*10*$F215*$G215*$H215*$M215*$CD$11)</f>
        <v>0</v>
      </c>
      <c r="CE215" s="123"/>
      <c r="CF215" s="123">
        <f>(CE215/12*10*$F215*$G215*$H215*$N215*$CF$11)</f>
        <v>0</v>
      </c>
      <c r="CG215" s="132"/>
      <c r="CH215" s="123">
        <f>(CG215/12*2*$E215*$G215*$H215*$N215*$CH$11)+(CG215/12*10*$F215*$G215*$H215*$N215*$CH$11)</f>
        <v>0</v>
      </c>
      <c r="CI215" s="123"/>
      <c r="CJ215" s="127"/>
      <c r="CK215" s="123"/>
      <c r="CL215" s="123">
        <f>(CK215/12*2*$E215*$G215*$H215*$N215*$CL$11)+(CK215/12*10*$F215*$G215*$H215*$N215*$CL$12)</f>
        <v>0</v>
      </c>
      <c r="CM215" s="130"/>
      <c r="CN215" s="123">
        <f>(CM215/12*2*$E215*$G215*$H215*$N215*$CN$11)+(CM215/12*10*$F215*$G215*$H215*$N215*$CN$11)</f>
        <v>0</v>
      </c>
      <c r="CO215" s="123"/>
      <c r="CP215" s="123">
        <f>(CO215/12*2*$E215*$G215*$H215*$N215*$CP$11)+(CO215/12*10*$F215*$G215*$H215*$N215*$CP$11)</f>
        <v>0</v>
      </c>
      <c r="CQ215" s="123"/>
      <c r="CR215" s="123">
        <f>(CQ215/12*2*$E215*$G215*$H215*$O215*$CR$11)+(CQ215/12*10*$F215*$G215*$H215*$O215*$CR$11)</f>
        <v>0</v>
      </c>
      <c r="CS215" s="123"/>
      <c r="CT215" s="133">
        <f>(CS215/12*2*$E215*$G215*$H215*$P215*$CT$11)+(CS215/12*10*$F215*$G215*$H215*$P215*$CT$11)</f>
        <v>0</v>
      </c>
      <c r="CU215" s="127"/>
      <c r="CV215" s="123">
        <f>(CU215*$E215*$G215*$H215*$M215*CV$11)/12*6+(CU215*$E215*$G215*$H215*1*CV$11)/12*6</f>
        <v>0</v>
      </c>
      <c r="CW215" s="126">
        <f t="shared" si="294"/>
        <v>25</v>
      </c>
      <c r="CX215" s="126">
        <f t="shared" si="294"/>
        <v>6467226.1941</v>
      </c>
    </row>
    <row r="216" spans="1:102" ht="30" customHeight="1" x14ac:dyDescent="0.25">
      <c r="A216" s="91"/>
      <c r="B216" s="116">
        <v>184</v>
      </c>
      <c r="C216" s="160" t="s">
        <v>521</v>
      </c>
      <c r="D216" s="148" t="s">
        <v>522</v>
      </c>
      <c r="E216" s="95">
        <v>28004</v>
      </c>
      <c r="F216" s="96">
        <v>29405</v>
      </c>
      <c r="G216" s="149">
        <v>1.34</v>
      </c>
      <c r="H216" s="107">
        <v>1</v>
      </c>
      <c r="I216" s="108"/>
      <c r="J216" s="108"/>
      <c r="K216" s="108"/>
      <c r="L216" s="163">
        <v>0.75760000000000005</v>
      </c>
      <c r="M216" s="213">
        <v>1.4</v>
      </c>
      <c r="N216" s="213">
        <v>1.68</v>
      </c>
      <c r="O216" s="213">
        <v>2.23</v>
      </c>
      <c r="P216" s="214">
        <v>2.57</v>
      </c>
      <c r="Q216" s="122">
        <v>30</v>
      </c>
      <c r="R216" s="143">
        <f t="shared" ref="R216:R224" si="370">(Q216/12*2*$E216*$G216*((1-$L216)+$L216*$M216*$R$11*$H216))+(Q216/12*10*$F216*$G216*((1-$L216)+$L216*$M216*$R$11*$H216))</f>
        <v>1652448.2289072003</v>
      </c>
      <c r="S216" s="157"/>
      <c r="T216" s="144">
        <f t="shared" ref="T216:T224" si="371">(S216/12*2*$E216*$G216*((1-$L216)+$L216*$M216*$R$11*$H216))+(S216/12*10*$F216*$G216*((1-$L216)+$L216*$M216*$R$11*$H216))</f>
        <v>0</v>
      </c>
      <c r="U216" s="143"/>
      <c r="V216" s="143">
        <f t="shared" ref="V216:V224" si="372">(U216/12*2*$E216*$G216*((1-$L216)+$L216*$M216*V$11*$H216))+(U216/12*10*$F216*$G216*((1-$L216)+$L216*$M216*V$12*$H216))</f>
        <v>0</v>
      </c>
      <c r="W216" s="123"/>
      <c r="X216" s="143">
        <f t="shared" ref="X216:X224" si="373">(W216/12*2*$E216*$G216*((1-$L216)+$L216*$M216*$X$11*$H216))+(W216/12*10*$F216*$G216*((1-$L216)+$L216*$M216*$X$12*$H216))</f>
        <v>0</v>
      </c>
      <c r="Y216" s="123"/>
      <c r="Z216" s="143">
        <f t="shared" ref="Z216:Z224" si="374">(Y216/12*2*$E216*$G216*((1-$L216)+$L216*$M216*$Z$11*$H216))+(Y216/12*10*$F216*$G216*((1-$L216)+$L216*$M216*$Z$12*$H216))</f>
        <v>0</v>
      </c>
      <c r="AA216" s="123"/>
      <c r="AB216" s="143">
        <f t="shared" ref="AB216:AB224" si="375">(AA216/12*2*$E216*$G216*((1-$L216)+$L216*$M216*$AB$11*$H216))+(AA216/12*10*$F216*$G216*((1-$L216)+$L216*$M216*$AB$11*$H216))</f>
        <v>0</v>
      </c>
      <c r="AC216" s="123"/>
      <c r="AD216" s="123"/>
      <c r="AE216" s="123"/>
      <c r="AF216" s="143">
        <f t="shared" ref="AF216:AF224" si="376">(AE216/12*2*$E216*$G216*((1-$L216)+$L216*$M216*AF$11*$H216))+(AE216/12*10*$F216*$G216*((1-$L216)+$L216*$M216*AF$11*$H216))</f>
        <v>0</v>
      </c>
      <c r="AG216" s="135">
        <v>0</v>
      </c>
      <c r="AH216" s="145">
        <f t="shared" ref="AH216:AH224" si="377">(AG216/12*2*$E216*$G216*((1-$L216)+$L216*$H216*AH$11*$M216))+(AG216/12*10*$F216*$G216*((1-$L216)+$L216*$H216*AH$11*$M216))</f>
        <v>0</v>
      </c>
      <c r="AI216" s="123"/>
      <c r="AJ216" s="143">
        <f t="shared" ref="AJ216:AJ224" si="378">(AI216/12*2*$E216*$G216*((1-$L216)+$L216*$H216*AJ$11*$M216))+(AI216/12*5*$F216*$G216*((1-$L216)+$L216*$H216*AJ$12*$M216))+(AI216/12*5*$F216*$G216*((1-$L216)+$L216*$H216*AJ$13*$M216))</f>
        <v>0</v>
      </c>
      <c r="AK216" s="123"/>
      <c r="AL216" s="143">
        <f t="shared" ref="AL216:AL224" si="379">(AK216/12*2*$E216*$G216*((1-$L216)+$L216*$H216*AL$11*$N216))+(AK216/12*4*$F216*$G216*((1-$L216)+$L216*$H216*AL$12*$N216))+(AK216/12*6*$F216*$G216*((1-$L216)+$L216*$H216*AL$13*$N216))</f>
        <v>0</v>
      </c>
      <c r="AM216" s="129">
        <v>9</v>
      </c>
      <c r="AN216" s="143">
        <f t="shared" ref="AN216:AN224" si="380">(AM216/12*2*$E216*$G216*((1-$L216)+$L216*$N216*$AN$11*H216))+(AM216/12*10*$F216*$G216*((1-$L216)+$L216*$N216*$AN$12*H216))</f>
        <v>685827.78637276811</v>
      </c>
      <c r="AO216" s="130"/>
      <c r="AP216" s="143">
        <f t="shared" ref="AP216:AP224" si="381">(AO216/12*2*$E216*$G216*((1-$L216)+$L216*$H216*AP$11*$N216))+(AO216/12*10*$F216*$G216*((1-$L216)+$L216*$H216*AP$11*$N216))</f>
        <v>0</v>
      </c>
      <c r="AQ216" s="143">
        <v>0</v>
      </c>
      <c r="AR216" s="143">
        <v>0</v>
      </c>
      <c r="AS216" s="123"/>
      <c r="AT216" s="123"/>
      <c r="AU216" s="123"/>
      <c r="AV216" s="123"/>
      <c r="AW216" s="123"/>
      <c r="AX216" s="143">
        <f t="shared" ref="AX216:AX224" si="382">(AW216/12*2*$E216*$G216*((1-$L216)+$L216*$H216*AX$11*$M216))+(AW216/12*10*$F216*$G216*((1-$L216)+$L216*$H216*AX$12*$M216))</f>
        <v>0</v>
      </c>
      <c r="AY216" s="123">
        <v>0</v>
      </c>
      <c r="AZ216" s="143">
        <f t="shared" ref="AZ216:AZ224" si="383">(AY216/12*2*$E216*$G216*((1-$L216)+$L216*$N216*$H216*$AZ$11))+(AY216/12*10*$F216*$G216*((1-$L216)+$L216*$N216*$H216*$AZ$11))</f>
        <v>0</v>
      </c>
      <c r="BA216" s="123"/>
      <c r="BB216" s="143">
        <f t="shared" ref="BB216:BB224" si="384">(BA216/12*2*$E216*$G216*((1-$L216)+$L216*$H216*BB$11*$N216))+(BA216/12*10*$F216*$G216*((1-$L216)+$L216*$H216*BB$12*$N216))</f>
        <v>0</v>
      </c>
      <c r="BC216" s="123"/>
      <c r="BD216" s="146">
        <f t="shared" si="271"/>
        <v>0</v>
      </c>
      <c r="BE216" s="123"/>
      <c r="BF216" s="143">
        <f>(BE216/12*2*$E216*$G216*((1-$L216)+$L216*$H216*BF$11*$N216))+(BE216/12*10*$F216*$G216*((1-$L216)+$L216*$H216*BF$12*$N216))</f>
        <v>0</v>
      </c>
      <c r="BG216" s="123"/>
      <c r="BH216" s="143">
        <f t="shared" ref="BH216:BH224" si="385">(BG216/12*2*$E216*$G216*((1-$L216)+$L216*$H216*BH$11*$N216))+(BG216/12*10*$F216*$G216*((1-$L216)+$L216*$H216*BH$11*$N216))</f>
        <v>0</v>
      </c>
      <c r="BI216" s="123"/>
      <c r="BJ216" s="143">
        <f t="shared" ref="BJ216:BJ224" si="386">(BI216/12*2*$E216*$G216*((1-$L216)+$L216*$H216*BJ$11*$N216))+(BI216/12*10*$F216*$G216*((1-$L216)+$L216*$H216*BJ$11*$N216))</f>
        <v>0</v>
      </c>
      <c r="BK216" s="123"/>
      <c r="BL216" s="143">
        <f t="shared" ref="BL216:BL224" si="387">(BK216/12*2*$E216*$G216*((1-$L216)+$L216*$H216*BL$11*$N216))+(BK216/12*10*$F216*$G216*((1-$L216)+$L216*$H216*BL$11*$N216))</f>
        <v>0</v>
      </c>
      <c r="BM216" s="123"/>
      <c r="BN216" s="143">
        <f t="shared" ref="BN216:BN224" si="388">(BM216/12*2*$E216*$G216*((1-$L216)+$L216*$H216*BN$11*$M216))+(BM216/12*10*$F216*$G216*((1-$L216)+$L216*$H216*BN$11*$M216))</f>
        <v>0</v>
      </c>
      <c r="BO216" s="123"/>
      <c r="BP216" s="143">
        <f t="shared" ref="BP216:BP224" si="389">(BO216/12*2*$E216*$G216*((1-$L216)+$L216*$H216*BP$11*$M216))+(BO216/12*10*$F216*$G216*((1-$L216)+$L216*$H216*BP$12*$M216))</f>
        <v>0</v>
      </c>
      <c r="BQ216" s="123"/>
      <c r="BR216" s="123"/>
      <c r="BS216" s="123"/>
      <c r="BT216" s="143">
        <f t="shared" ref="BT216:BT224" si="390">(BS216/12*2*$E216*$G216*((1-$L216)+$L216*$H216*BT$11*$N216))+(BS216/12*10*$F216*$G216*((1-$L216)+$L216*$H216*BT$11*$N216))</f>
        <v>0</v>
      </c>
      <c r="BU216" s="123"/>
      <c r="BV216" s="123"/>
      <c r="BW216" s="123"/>
      <c r="BX216" s="143">
        <f t="shared" ref="BX216:BX224" si="391">(BW216/12*2*$E216*$G216*((1-$L216)+$L216*$H216*BX$11*$M216))+(BW216/12*10*$F216*$G216*((1-$L216)+$L216*$H216*BX$11*$M216))</f>
        <v>0</v>
      </c>
      <c r="BY216" s="123"/>
      <c r="BZ216" s="143">
        <f t="shared" ref="BZ216:BZ224" si="392">(BY216/12*2*$E216*$G216*((1-$L216)+$L216*$H216*BZ$11*$M216))+(BY216/12*10*$F216*$G216*((1-$L216)+$L216*$H216*BZ$11*$M216))</f>
        <v>0</v>
      </c>
      <c r="CA216" s="123"/>
      <c r="CB216" s="143">
        <f t="shared" ref="CB216:CB224" si="393">(CA216/12*2*$E216*$G216*((1-$L216)+$L216*$H216*CB$11*$M216))+(CA216/12*10*$F216*$G216*((1-$L216)+$L216*$H216*CB$11*$M216))</f>
        <v>0</v>
      </c>
      <c r="CC216" s="123"/>
      <c r="CD216" s="146">
        <f t="shared" ref="CD216:CD224" si="394">(CC216/12*2*$E216*$G216*((1-$L216)+$L216*$M216*$CD$11*$H216))+(CC216/12*10*$F216*$G216*((1-$L216)+$L216*$M216*$CD$11*$H216))</f>
        <v>0</v>
      </c>
      <c r="CE216" s="123"/>
      <c r="CF216" s="143">
        <f t="shared" ref="CF216:CF224" si="395">(CE216/12*10*$F216*$G216*((1-$L216)+$L216*$H216*CF$11*$N216))</f>
        <v>0</v>
      </c>
      <c r="CG216" s="132"/>
      <c r="CH216" s="143">
        <f t="shared" ref="CH216:CH224" si="396">(CG216/12*2*$E216*$G216*((1-$L216)+$L216*$H216*CH$11*$N216))+(CG216/12*10*$F216*$G216*((1-$L216)+$L216*$H216*CH$11*$N216))</f>
        <v>0</v>
      </c>
      <c r="CI216" s="123"/>
      <c r="CJ216" s="127"/>
      <c r="CK216" s="123"/>
      <c r="CL216" s="123"/>
      <c r="CM216" s="130"/>
      <c r="CN216" s="143">
        <f t="shared" ref="CN216:CN224" si="397">((CM216/12*2*$E216*$G216*((1-$L216)+$L216*$H216*CN$11*$N216)))+((CM216/12*10*$F216*$G216*((1-$L216)+$L216*$H216*CN$11*$N216)))</f>
        <v>0</v>
      </c>
      <c r="CO216" s="123"/>
      <c r="CP216" s="143">
        <f t="shared" ref="CP216:CP224" si="398">(CO216/12*2*$E216*$G216*((1-$L216)+$L216*$H216*CP$11*$N216))+(CO216/12*10*$F216*$G216*((1-$L216)+$L216*$H216*CP$11*$N216))</f>
        <v>0</v>
      </c>
      <c r="CQ216" s="123"/>
      <c r="CR216" s="143">
        <f t="shared" ref="CR216:CR224" si="399">(CQ216/12*2*$E216*$G216*((1-$L216)+$L216*$H216*CR$11*$O216))+(CQ216/12*10*$F216*$G216*((1-$L216)+$L216*$H216*CR$11*$O216))</f>
        <v>0</v>
      </c>
      <c r="CS216" s="123"/>
      <c r="CT216" s="143">
        <f t="shared" ref="CT216:CT224" si="400">(CS216/12*2*$E216*$G216*((1-$L216)+$L216*$H216*CT$11*$P216))+(CS216/12*10*$F216*$G216*((1-$L216)+$L216*$H216*CT$11*$P216))</f>
        <v>0</v>
      </c>
      <c r="CU216" s="127"/>
      <c r="CV216" s="127"/>
      <c r="CW216" s="126">
        <f t="shared" si="294"/>
        <v>39</v>
      </c>
      <c r="CX216" s="126">
        <f t="shared" si="294"/>
        <v>2338276.0152799683</v>
      </c>
    </row>
    <row r="217" spans="1:102" ht="30" customHeight="1" x14ac:dyDescent="0.25">
      <c r="A217" s="91"/>
      <c r="B217" s="116">
        <v>185</v>
      </c>
      <c r="C217" s="160" t="s">
        <v>523</v>
      </c>
      <c r="D217" s="148" t="s">
        <v>524</v>
      </c>
      <c r="E217" s="95">
        <v>28004</v>
      </c>
      <c r="F217" s="96">
        <v>29405</v>
      </c>
      <c r="G217" s="149">
        <v>3.48</v>
      </c>
      <c r="H217" s="107">
        <v>1</v>
      </c>
      <c r="I217" s="108"/>
      <c r="J217" s="108"/>
      <c r="K217" s="108"/>
      <c r="L217" s="163">
        <v>0.75760000000000005</v>
      </c>
      <c r="M217" s="213">
        <v>1.4</v>
      </c>
      <c r="N217" s="213">
        <v>1.68</v>
      </c>
      <c r="O217" s="213">
        <v>2.23</v>
      </c>
      <c r="P217" s="214">
        <v>2.57</v>
      </c>
      <c r="Q217" s="122">
        <v>130</v>
      </c>
      <c r="R217" s="143">
        <f t="shared" si="370"/>
        <v>18596208.426806405</v>
      </c>
      <c r="S217" s="157"/>
      <c r="T217" s="144">
        <f t="shared" si="371"/>
        <v>0</v>
      </c>
      <c r="U217" s="143"/>
      <c r="V217" s="143">
        <f t="shared" si="372"/>
        <v>0</v>
      </c>
      <c r="W217" s="123"/>
      <c r="X217" s="143">
        <f t="shared" si="373"/>
        <v>0</v>
      </c>
      <c r="Y217" s="123"/>
      <c r="Z217" s="143">
        <f t="shared" si="374"/>
        <v>0</v>
      </c>
      <c r="AA217" s="123"/>
      <c r="AB217" s="143">
        <f t="shared" si="375"/>
        <v>0</v>
      </c>
      <c r="AC217" s="123"/>
      <c r="AD217" s="123"/>
      <c r="AE217" s="123"/>
      <c r="AF217" s="143">
        <f t="shared" si="376"/>
        <v>0</v>
      </c>
      <c r="AG217" s="123">
        <v>0</v>
      </c>
      <c r="AH217" s="143">
        <f t="shared" si="377"/>
        <v>0</v>
      </c>
      <c r="AI217" s="123"/>
      <c r="AJ217" s="143">
        <f t="shared" si="378"/>
        <v>0</v>
      </c>
      <c r="AK217" s="123"/>
      <c r="AL217" s="143">
        <f t="shared" si="379"/>
        <v>0</v>
      </c>
      <c r="AM217" s="129">
        <v>1</v>
      </c>
      <c r="AN217" s="143">
        <f t="shared" si="380"/>
        <v>197900.555271744</v>
      </c>
      <c r="AO217" s="130"/>
      <c r="AP217" s="143">
        <f t="shared" si="381"/>
        <v>0</v>
      </c>
      <c r="AQ217" s="143">
        <v>0</v>
      </c>
      <c r="AR217" s="143">
        <v>0</v>
      </c>
      <c r="AS217" s="123"/>
      <c r="AT217" s="123"/>
      <c r="AU217" s="123"/>
      <c r="AV217" s="123"/>
      <c r="AW217" s="123"/>
      <c r="AX217" s="143">
        <f t="shared" si="382"/>
        <v>0</v>
      </c>
      <c r="AY217" s="123">
        <v>0</v>
      </c>
      <c r="AZ217" s="143">
        <f t="shared" si="383"/>
        <v>0</v>
      </c>
      <c r="BA217" s="123"/>
      <c r="BB217" s="143">
        <f t="shared" si="384"/>
        <v>0</v>
      </c>
      <c r="BC217" s="123"/>
      <c r="BD217" s="146">
        <f t="shared" si="271"/>
        <v>0</v>
      </c>
      <c r="BE217" s="123"/>
      <c r="BF217" s="143">
        <f t="shared" ref="BF217:BF224" si="401">(BE217/12*2*$E217*$G217*((1-$L217)+$L217*$H217*BF$11*$N217))+(BE217/12*10*$F217*$G217*((1-$L217)+$L217*$H217*BF$12*$N217))</f>
        <v>0</v>
      </c>
      <c r="BG217" s="123"/>
      <c r="BH217" s="143">
        <f t="shared" si="385"/>
        <v>0</v>
      </c>
      <c r="BI217" s="123"/>
      <c r="BJ217" s="143">
        <f t="shared" si="386"/>
        <v>0</v>
      </c>
      <c r="BK217" s="123"/>
      <c r="BL217" s="143">
        <f t="shared" si="387"/>
        <v>0</v>
      </c>
      <c r="BM217" s="123"/>
      <c r="BN217" s="143">
        <f t="shared" si="388"/>
        <v>0</v>
      </c>
      <c r="BO217" s="123"/>
      <c r="BP217" s="143">
        <f t="shared" si="389"/>
        <v>0</v>
      </c>
      <c r="BQ217" s="123"/>
      <c r="BR217" s="123"/>
      <c r="BS217" s="123"/>
      <c r="BT217" s="143">
        <f t="shared" si="390"/>
        <v>0</v>
      </c>
      <c r="BU217" s="123"/>
      <c r="BV217" s="123"/>
      <c r="BW217" s="123"/>
      <c r="BX217" s="143">
        <f t="shared" si="391"/>
        <v>0</v>
      </c>
      <c r="BY217" s="123"/>
      <c r="BZ217" s="143">
        <f t="shared" si="392"/>
        <v>0</v>
      </c>
      <c r="CA217" s="123"/>
      <c r="CB217" s="143">
        <f t="shared" si="393"/>
        <v>0</v>
      </c>
      <c r="CC217" s="123"/>
      <c r="CD217" s="146">
        <f t="shared" si="394"/>
        <v>0</v>
      </c>
      <c r="CE217" s="123"/>
      <c r="CF217" s="143">
        <f t="shared" si="395"/>
        <v>0</v>
      </c>
      <c r="CG217" s="132"/>
      <c r="CH217" s="143">
        <f t="shared" si="396"/>
        <v>0</v>
      </c>
      <c r="CI217" s="123"/>
      <c r="CJ217" s="127"/>
      <c r="CK217" s="123"/>
      <c r="CL217" s="123"/>
      <c r="CM217" s="130"/>
      <c r="CN217" s="143">
        <f t="shared" si="397"/>
        <v>0</v>
      </c>
      <c r="CO217" s="123"/>
      <c r="CP217" s="143">
        <f t="shared" si="398"/>
        <v>0</v>
      </c>
      <c r="CQ217" s="123"/>
      <c r="CR217" s="143">
        <f t="shared" si="399"/>
        <v>0</v>
      </c>
      <c r="CS217" s="123"/>
      <c r="CT217" s="143">
        <f t="shared" si="400"/>
        <v>0</v>
      </c>
      <c r="CU217" s="127"/>
      <c r="CV217" s="127"/>
      <c r="CW217" s="126">
        <f t="shared" si="294"/>
        <v>131</v>
      </c>
      <c r="CX217" s="126">
        <f t="shared" si="294"/>
        <v>18794108.98207815</v>
      </c>
    </row>
    <row r="218" spans="1:102" ht="30" customHeight="1" x14ac:dyDescent="0.25">
      <c r="A218" s="91"/>
      <c r="B218" s="116">
        <v>186</v>
      </c>
      <c r="C218" s="160" t="s">
        <v>525</v>
      </c>
      <c r="D218" s="148" t="s">
        <v>526</v>
      </c>
      <c r="E218" s="95">
        <v>28004</v>
      </c>
      <c r="F218" s="96">
        <v>29405</v>
      </c>
      <c r="G218" s="149">
        <v>6.91</v>
      </c>
      <c r="H218" s="107">
        <v>1</v>
      </c>
      <c r="I218" s="108"/>
      <c r="J218" s="108"/>
      <c r="K218" s="108"/>
      <c r="L218" s="163">
        <v>0.75760000000000005</v>
      </c>
      <c r="M218" s="213">
        <v>1.4</v>
      </c>
      <c r="N218" s="213">
        <v>1.68</v>
      </c>
      <c r="O218" s="213">
        <v>2.23</v>
      </c>
      <c r="P218" s="214">
        <v>2.57</v>
      </c>
      <c r="Q218" s="122">
        <v>67</v>
      </c>
      <c r="R218" s="143">
        <f t="shared" si="370"/>
        <v>19030695.436247919</v>
      </c>
      <c r="S218" s="157"/>
      <c r="T218" s="144">
        <f t="shared" si="371"/>
        <v>0</v>
      </c>
      <c r="U218" s="143"/>
      <c r="V218" s="143">
        <f t="shared" si="372"/>
        <v>0</v>
      </c>
      <c r="W218" s="123"/>
      <c r="X218" s="143">
        <f t="shared" si="373"/>
        <v>0</v>
      </c>
      <c r="Y218" s="123"/>
      <c r="Z218" s="143">
        <f t="shared" si="374"/>
        <v>0</v>
      </c>
      <c r="AA218" s="123"/>
      <c r="AB218" s="143">
        <f t="shared" si="375"/>
        <v>0</v>
      </c>
      <c r="AC218" s="123"/>
      <c r="AD218" s="123"/>
      <c r="AE218" s="123"/>
      <c r="AF218" s="143">
        <f t="shared" si="376"/>
        <v>0</v>
      </c>
      <c r="AG218" s="123">
        <v>0</v>
      </c>
      <c r="AH218" s="143">
        <f t="shared" si="377"/>
        <v>0</v>
      </c>
      <c r="AI218" s="123"/>
      <c r="AJ218" s="143">
        <f t="shared" si="378"/>
        <v>0</v>
      </c>
      <c r="AK218" s="123"/>
      <c r="AL218" s="143">
        <f t="shared" si="379"/>
        <v>0</v>
      </c>
      <c r="AM218" s="129">
        <v>0</v>
      </c>
      <c r="AN218" s="143">
        <f t="shared" si="380"/>
        <v>0</v>
      </c>
      <c r="AO218" s="130"/>
      <c r="AP218" s="143">
        <f t="shared" si="381"/>
        <v>0</v>
      </c>
      <c r="AQ218" s="143">
        <v>0</v>
      </c>
      <c r="AR218" s="143">
        <v>0</v>
      </c>
      <c r="AS218" s="123"/>
      <c r="AT218" s="123"/>
      <c r="AU218" s="123"/>
      <c r="AV218" s="123"/>
      <c r="AW218" s="123"/>
      <c r="AX218" s="143">
        <f t="shared" si="382"/>
        <v>0</v>
      </c>
      <c r="AY218" s="123">
        <v>0</v>
      </c>
      <c r="AZ218" s="143">
        <f t="shared" si="383"/>
        <v>0</v>
      </c>
      <c r="BA218" s="123"/>
      <c r="BB218" s="143">
        <f t="shared" si="384"/>
        <v>0</v>
      </c>
      <c r="BC218" s="123"/>
      <c r="BD218" s="146">
        <f t="shared" si="271"/>
        <v>0</v>
      </c>
      <c r="BE218" s="123"/>
      <c r="BF218" s="143">
        <f t="shared" si="401"/>
        <v>0</v>
      </c>
      <c r="BG218" s="123"/>
      <c r="BH218" s="143">
        <f t="shared" si="385"/>
        <v>0</v>
      </c>
      <c r="BI218" s="123"/>
      <c r="BJ218" s="143">
        <f t="shared" si="386"/>
        <v>0</v>
      </c>
      <c r="BK218" s="123"/>
      <c r="BL218" s="143">
        <f t="shared" si="387"/>
        <v>0</v>
      </c>
      <c r="BM218" s="123"/>
      <c r="BN218" s="143">
        <f t="shared" si="388"/>
        <v>0</v>
      </c>
      <c r="BO218" s="123"/>
      <c r="BP218" s="143">
        <f t="shared" si="389"/>
        <v>0</v>
      </c>
      <c r="BQ218" s="123"/>
      <c r="BR218" s="123"/>
      <c r="BS218" s="123"/>
      <c r="BT218" s="143">
        <f t="shared" si="390"/>
        <v>0</v>
      </c>
      <c r="BU218" s="123"/>
      <c r="BV218" s="123"/>
      <c r="BW218" s="123"/>
      <c r="BX218" s="143">
        <f t="shared" si="391"/>
        <v>0</v>
      </c>
      <c r="BY218" s="123"/>
      <c r="BZ218" s="143">
        <f t="shared" si="392"/>
        <v>0</v>
      </c>
      <c r="CA218" s="123"/>
      <c r="CB218" s="143">
        <f t="shared" si="393"/>
        <v>0</v>
      </c>
      <c r="CC218" s="123"/>
      <c r="CD218" s="146">
        <f t="shared" si="394"/>
        <v>0</v>
      </c>
      <c r="CE218" s="123"/>
      <c r="CF218" s="143">
        <f t="shared" si="395"/>
        <v>0</v>
      </c>
      <c r="CG218" s="132"/>
      <c r="CH218" s="143">
        <f t="shared" si="396"/>
        <v>0</v>
      </c>
      <c r="CI218" s="123"/>
      <c r="CJ218" s="127"/>
      <c r="CK218" s="123"/>
      <c r="CL218" s="123"/>
      <c r="CM218" s="130"/>
      <c r="CN218" s="143">
        <f t="shared" si="397"/>
        <v>0</v>
      </c>
      <c r="CO218" s="123"/>
      <c r="CP218" s="143">
        <f t="shared" si="398"/>
        <v>0</v>
      </c>
      <c r="CQ218" s="123"/>
      <c r="CR218" s="143">
        <f t="shared" si="399"/>
        <v>0</v>
      </c>
      <c r="CS218" s="123"/>
      <c r="CT218" s="143">
        <f t="shared" si="400"/>
        <v>0</v>
      </c>
      <c r="CU218" s="127"/>
      <c r="CV218" s="127"/>
      <c r="CW218" s="126">
        <f t="shared" si="294"/>
        <v>67</v>
      </c>
      <c r="CX218" s="126">
        <f t="shared" si="294"/>
        <v>19030695.436247919</v>
      </c>
    </row>
    <row r="219" spans="1:102" ht="53.25" customHeight="1" x14ac:dyDescent="0.25">
      <c r="A219" s="91"/>
      <c r="B219" s="116">
        <v>187</v>
      </c>
      <c r="C219" s="160" t="s">
        <v>527</v>
      </c>
      <c r="D219" s="148" t="s">
        <v>528</v>
      </c>
      <c r="E219" s="95">
        <v>28004</v>
      </c>
      <c r="F219" s="96">
        <v>29405</v>
      </c>
      <c r="G219" s="149">
        <v>2.4900000000000002</v>
      </c>
      <c r="H219" s="107">
        <v>1</v>
      </c>
      <c r="I219" s="108"/>
      <c r="J219" s="108"/>
      <c r="K219" s="108"/>
      <c r="L219" s="163">
        <v>0.3468</v>
      </c>
      <c r="M219" s="213">
        <v>1.4</v>
      </c>
      <c r="N219" s="213">
        <v>1.68</v>
      </c>
      <c r="O219" s="213">
        <v>2.23</v>
      </c>
      <c r="P219" s="214">
        <v>2.57</v>
      </c>
      <c r="Q219" s="122">
        <v>136</v>
      </c>
      <c r="R219" s="143">
        <f t="shared" si="370"/>
        <v>11728628.823318724</v>
      </c>
      <c r="S219" s="157"/>
      <c r="T219" s="144">
        <f t="shared" si="371"/>
        <v>0</v>
      </c>
      <c r="U219" s="143"/>
      <c r="V219" s="143">
        <f t="shared" si="372"/>
        <v>0</v>
      </c>
      <c r="W219" s="123"/>
      <c r="X219" s="143">
        <f t="shared" si="373"/>
        <v>0</v>
      </c>
      <c r="Y219" s="123">
        <f>12+66</f>
        <v>78</v>
      </c>
      <c r="Z219" s="143">
        <f t="shared" si="374"/>
        <v>7390207.0981112402</v>
      </c>
      <c r="AA219" s="123"/>
      <c r="AB219" s="143">
        <f t="shared" si="375"/>
        <v>0</v>
      </c>
      <c r="AC219" s="123"/>
      <c r="AD219" s="123"/>
      <c r="AE219" s="123"/>
      <c r="AF219" s="143">
        <f t="shared" si="376"/>
        <v>0</v>
      </c>
      <c r="AG219" s="123">
        <v>0</v>
      </c>
      <c r="AH219" s="143">
        <f t="shared" si="377"/>
        <v>0</v>
      </c>
      <c r="AI219" s="123"/>
      <c r="AJ219" s="143">
        <f t="shared" si="378"/>
        <v>0</v>
      </c>
      <c r="AK219" s="123"/>
      <c r="AL219" s="143">
        <f t="shared" si="379"/>
        <v>0</v>
      </c>
      <c r="AM219" s="129"/>
      <c r="AN219" s="143">
        <f t="shared" si="380"/>
        <v>0</v>
      </c>
      <c r="AO219" s="130"/>
      <c r="AP219" s="143">
        <f t="shared" si="381"/>
        <v>0</v>
      </c>
      <c r="AQ219" s="143">
        <v>0</v>
      </c>
      <c r="AR219" s="143">
        <v>0</v>
      </c>
      <c r="AS219" s="123"/>
      <c r="AT219" s="123"/>
      <c r="AU219" s="123"/>
      <c r="AV219" s="123"/>
      <c r="AW219" s="123"/>
      <c r="AX219" s="143">
        <f t="shared" si="382"/>
        <v>0</v>
      </c>
      <c r="AY219" s="123">
        <v>0</v>
      </c>
      <c r="AZ219" s="143">
        <f t="shared" si="383"/>
        <v>0</v>
      </c>
      <c r="BA219" s="123"/>
      <c r="BB219" s="143">
        <f t="shared" si="384"/>
        <v>0</v>
      </c>
      <c r="BC219" s="123"/>
      <c r="BD219" s="146">
        <f t="shared" si="271"/>
        <v>0</v>
      </c>
      <c r="BE219" s="123"/>
      <c r="BF219" s="143">
        <f t="shared" si="401"/>
        <v>0</v>
      </c>
      <c r="BG219" s="123"/>
      <c r="BH219" s="143">
        <f t="shared" si="385"/>
        <v>0</v>
      </c>
      <c r="BI219" s="123"/>
      <c r="BJ219" s="143">
        <f t="shared" si="386"/>
        <v>0</v>
      </c>
      <c r="BK219" s="123"/>
      <c r="BL219" s="143">
        <f t="shared" si="387"/>
        <v>0</v>
      </c>
      <c r="BM219" s="123"/>
      <c r="BN219" s="143">
        <f t="shared" si="388"/>
        <v>0</v>
      </c>
      <c r="BO219" s="123"/>
      <c r="BP219" s="143">
        <f t="shared" si="389"/>
        <v>0</v>
      </c>
      <c r="BQ219" s="123"/>
      <c r="BR219" s="123"/>
      <c r="BS219" s="123"/>
      <c r="BT219" s="143">
        <f t="shared" si="390"/>
        <v>0</v>
      </c>
      <c r="BU219" s="123"/>
      <c r="BV219" s="123"/>
      <c r="BW219" s="123"/>
      <c r="BX219" s="143">
        <f t="shared" si="391"/>
        <v>0</v>
      </c>
      <c r="BY219" s="123"/>
      <c r="BZ219" s="143">
        <f t="shared" si="392"/>
        <v>0</v>
      </c>
      <c r="CA219" s="123"/>
      <c r="CB219" s="143">
        <f t="shared" si="393"/>
        <v>0</v>
      </c>
      <c r="CC219" s="123"/>
      <c r="CD219" s="146">
        <f t="shared" si="394"/>
        <v>0</v>
      </c>
      <c r="CE219" s="123"/>
      <c r="CF219" s="143">
        <f t="shared" si="395"/>
        <v>0</v>
      </c>
      <c r="CG219" s="132"/>
      <c r="CH219" s="143">
        <f t="shared" si="396"/>
        <v>0</v>
      </c>
      <c r="CI219" s="123"/>
      <c r="CJ219" s="127"/>
      <c r="CK219" s="123"/>
      <c r="CL219" s="123"/>
      <c r="CM219" s="130"/>
      <c r="CN219" s="143">
        <f t="shared" si="397"/>
        <v>0</v>
      </c>
      <c r="CO219" s="123"/>
      <c r="CP219" s="143">
        <f t="shared" si="398"/>
        <v>0</v>
      </c>
      <c r="CQ219" s="123"/>
      <c r="CR219" s="143">
        <f t="shared" si="399"/>
        <v>0</v>
      </c>
      <c r="CS219" s="123"/>
      <c r="CT219" s="143">
        <f t="shared" si="400"/>
        <v>0</v>
      </c>
      <c r="CU219" s="127"/>
      <c r="CV219" s="127"/>
      <c r="CW219" s="126">
        <f t="shared" si="294"/>
        <v>214</v>
      </c>
      <c r="CX219" s="126">
        <f t="shared" si="294"/>
        <v>19118835.921429962</v>
      </c>
    </row>
    <row r="220" spans="1:102" ht="43.5" customHeight="1" x14ac:dyDescent="0.25">
      <c r="A220" s="91"/>
      <c r="B220" s="116">
        <v>188</v>
      </c>
      <c r="C220" s="160" t="s">
        <v>529</v>
      </c>
      <c r="D220" s="148" t="s">
        <v>530</v>
      </c>
      <c r="E220" s="95">
        <v>28004</v>
      </c>
      <c r="F220" s="96">
        <v>29405</v>
      </c>
      <c r="G220" s="149">
        <v>4.83</v>
      </c>
      <c r="H220" s="107">
        <v>1</v>
      </c>
      <c r="I220" s="108"/>
      <c r="J220" s="108"/>
      <c r="K220" s="108"/>
      <c r="L220" s="163">
        <v>0.5454</v>
      </c>
      <c r="M220" s="213">
        <v>1.4</v>
      </c>
      <c r="N220" s="213">
        <v>1.68</v>
      </c>
      <c r="O220" s="213">
        <v>2.23</v>
      </c>
      <c r="P220" s="214">
        <v>2.57</v>
      </c>
      <c r="Q220" s="122">
        <v>169</v>
      </c>
      <c r="R220" s="143">
        <f t="shared" si="370"/>
        <v>30824782.373947382</v>
      </c>
      <c r="S220" s="157"/>
      <c r="T220" s="144">
        <f t="shared" si="371"/>
        <v>0</v>
      </c>
      <c r="U220" s="143"/>
      <c r="V220" s="143">
        <f t="shared" si="372"/>
        <v>0</v>
      </c>
      <c r="W220" s="123"/>
      <c r="X220" s="143">
        <f t="shared" si="373"/>
        <v>0</v>
      </c>
      <c r="Y220" s="123">
        <f>8+4</f>
        <v>12</v>
      </c>
      <c r="Z220" s="143">
        <f t="shared" si="374"/>
        <v>2500133.7278559594</v>
      </c>
      <c r="AA220" s="123"/>
      <c r="AB220" s="143">
        <f t="shared" si="375"/>
        <v>0</v>
      </c>
      <c r="AC220" s="123"/>
      <c r="AD220" s="123"/>
      <c r="AE220" s="123"/>
      <c r="AF220" s="143">
        <f t="shared" si="376"/>
        <v>0</v>
      </c>
      <c r="AG220" s="123">
        <v>0</v>
      </c>
      <c r="AH220" s="143">
        <f t="shared" si="377"/>
        <v>0</v>
      </c>
      <c r="AI220" s="123"/>
      <c r="AJ220" s="143">
        <f t="shared" si="378"/>
        <v>0</v>
      </c>
      <c r="AK220" s="123"/>
      <c r="AL220" s="143">
        <f t="shared" si="379"/>
        <v>0</v>
      </c>
      <c r="AM220" s="129">
        <v>0</v>
      </c>
      <c r="AN220" s="143">
        <f t="shared" si="380"/>
        <v>0</v>
      </c>
      <c r="AO220" s="130"/>
      <c r="AP220" s="143">
        <f t="shared" si="381"/>
        <v>0</v>
      </c>
      <c r="AQ220" s="143">
        <v>0</v>
      </c>
      <c r="AR220" s="143">
        <v>0</v>
      </c>
      <c r="AS220" s="123"/>
      <c r="AT220" s="123"/>
      <c r="AU220" s="123"/>
      <c r="AV220" s="123"/>
      <c r="AW220" s="123"/>
      <c r="AX220" s="143">
        <f t="shared" si="382"/>
        <v>0</v>
      </c>
      <c r="AY220" s="123">
        <v>0</v>
      </c>
      <c r="AZ220" s="143">
        <f t="shared" si="383"/>
        <v>0</v>
      </c>
      <c r="BA220" s="123"/>
      <c r="BB220" s="143">
        <f t="shared" si="384"/>
        <v>0</v>
      </c>
      <c r="BC220" s="123"/>
      <c r="BD220" s="146">
        <f t="shared" si="271"/>
        <v>0</v>
      </c>
      <c r="BE220" s="123"/>
      <c r="BF220" s="143">
        <f t="shared" si="401"/>
        <v>0</v>
      </c>
      <c r="BG220" s="123"/>
      <c r="BH220" s="143">
        <f t="shared" si="385"/>
        <v>0</v>
      </c>
      <c r="BI220" s="123"/>
      <c r="BJ220" s="143">
        <f t="shared" si="386"/>
        <v>0</v>
      </c>
      <c r="BK220" s="123"/>
      <c r="BL220" s="143">
        <f t="shared" si="387"/>
        <v>0</v>
      </c>
      <c r="BM220" s="123"/>
      <c r="BN220" s="143">
        <f t="shared" si="388"/>
        <v>0</v>
      </c>
      <c r="BO220" s="123"/>
      <c r="BP220" s="143">
        <f t="shared" si="389"/>
        <v>0</v>
      </c>
      <c r="BQ220" s="123"/>
      <c r="BR220" s="123"/>
      <c r="BS220" s="123"/>
      <c r="BT220" s="143">
        <f t="shared" si="390"/>
        <v>0</v>
      </c>
      <c r="BU220" s="123"/>
      <c r="BV220" s="123"/>
      <c r="BW220" s="123"/>
      <c r="BX220" s="143">
        <f t="shared" si="391"/>
        <v>0</v>
      </c>
      <c r="BY220" s="123"/>
      <c r="BZ220" s="143">
        <f t="shared" si="392"/>
        <v>0</v>
      </c>
      <c r="CA220" s="123"/>
      <c r="CB220" s="143">
        <f t="shared" si="393"/>
        <v>0</v>
      </c>
      <c r="CC220" s="123"/>
      <c r="CD220" s="146">
        <f t="shared" si="394"/>
        <v>0</v>
      </c>
      <c r="CE220" s="123"/>
      <c r="CF220" s="143">
        <f t="shared" si="395"/>
        <v>0</v>
      </c>
      <c r="CG220" s="132"/>
      <c r="CH220" s="143">
        <f t="shared" si="396"/>
        <v>0</v>
      </c>
      <c r="CI220" s="123"/>
      <c r="CJ220" s="127"/>
      <c r="CK220" s="123"/>
      <c r="CL220" s="123"/>
      <c r="CM220" s="130"/>
      <c r="CN220" s="143">
        <f t="shared" si="397"/>
        <v>0</v>
      </c>
      <c r="CO220" s="123"/>
      <c r="CP220" s="143">
        <f t="shared" si="398"/>
        <v>0</v>
      </c>
      <c r="CQ220" s="123"/>
      <c r="CR220" s="143">
        <f t="shared" si="399"/>
        <v>0</v>
      </c>
      <c r="CS220" s="123"/>
      <c r="CT220" s="143">
        <f t="shared" si="400"/>
        <v>0</v>
      </c>
      <c r="CU220" s="127"/>
      <c r="CV220" s="127"/>
      <c r="CW220" s="126">
        <f t="shared" si="294"/>
        <v>181</v>
      </c>
      <c r="CX220" s="126">
        <f t="shared" si="294"/>
        <v>33324916.10180334</v>
      </c>
    </row>
    <row r="221" spans="1:102" ht="41.25" customHeight="1" x14ac:dyDescent="0.25">
      <c r="A221" s="91"/>
      <c r="B221" s="116">
        <v>189</v>
      </c>
      <c r="C221" s="160" t="s">
        <v>531</v>
      </c>
      <c r="D221" s="148" t="s">
        <v>532</v>
      </c>
      <c r="E221" s="95">
        <v>28004</v>
      </c>
      <c r="F221" s="96">
        <v>29405</v>
      </c>
      <c r="G221" s="149">
        <v>7.87</v>
      </c>
      <c r="H221" s="107">
        <v>1</v>
      </c>
      <c r="I221" s="108"/>
      <c r="J221" s="108"/>
      <c r="K221" s="108"/>
      <c r="L221" s="163">
        <v>0.62749999999999995</v>
      </c>
      <c r="M221" s="213">
        <v>1.4</v>
      </c>
      <c r="N221" s="213">
        <v>1.68</v>
      </c>
      <c r="O221" s="213">
        <v>2.23</v>
      </c>
      <c r="P221" s="214">
        <v>2.57</v>
      </c>
      <c r="Q221" s="122">
        <v>45</v>
      </c>
      <c r="R221" s="143">
        <f t="shared" si="370"/>
        <v>13831775.46176625</v>
      </c>
      <c r="S221" s="157"/>
      <c r="T221" s="144">
        <f t="shared" si="371"/>
        <v>0</v>
      </c>
      <c r="U221" s="143"/>
      <c r="V221" s="143">
        <f t="shared" si="372"/>
        <v>0</v>
      </c>
      <c r="W221" s="123"/>
      <c r="X221" s="143">
        <f t="shared" si="373"/>
        <v>0</v>
      </c>
      <c r="Y221" s="123">
        <v>2</v>
      </c>
      <c r="Z221" s="143">
        <f t="shared" si="374"/>
        <v>712038.6886869166</v>
      </c>
      <c r="AA221" s="123"/>
      <c r="AB221" s="143">
        <f t="shared" si="375"/>
        <v>0</v>
      </c>
      <c r="AC221" s="123"/>
      <c r="AD221" s="123"/>
      <c r="AE221" s="123"/>
      <c r="AF221" s="143">
        <f t="shared" si="376"/>
        <v>0</v>
      </c>
      <c r="AG221" s="123">
        <v>0</v>
      </c>
      <c r="AH221" s="143">
        <f t="shared" si="377"/>
        <v>0</v>
      </c>
      <c r="AI221" s="123"/>
      <c r="AJ221" s="143">
        <f t="shared" si="378"/>
        <v>0</v>
      </c>
      <c r="AK221" s="123"/>
      <c r="AL221" s="143">
        <f t="shared" si="379"/>
        <v>0</v>
      </c>
      <c r="AM221" s="129">
        <v>0</v>
      </c>
      <c r="AN221" s="143">
        <f t="shared" si="380"/>
        <v>0</v>
      </c>
      <c r="AO221" s="130"/>
      <c r="AP221" s="143">
        <f t="shared" si="381"/>
        <v>0</v>
      </c>
      <c r="AQ221" s="143">
        <v>0</v>
      </c>
      <c r="AR221" s="143">
        <v>0</v>
      </c>
      <c r="AS221" s="123"/>
      <c r="AT221" s="123"/>
      <c r="AU221" s="123"/>
      <c r="AV221" s="123"/>
      <c r="AW221" s="123"/>
      <c r="AX221" s="143">
        <f t="shared" si="382"/>
        <v>0</v>
      </c>
      <c r="AY221" s="123">
        <v>0</v>
      </c>
      <c r="AZ221" s="143">
        <f t="shared" si="383"/>
        <v>0</v>
      </c>
      <c r="BA221" s="123"/>
      <c r="BB221" s="143">
        <f t="shared" si="384"/>
        <v>0</v>
      </c>
      <c r="BC221" s="123"/>
      <c r="BD221" s="146">
        <f t="shared" si="271"/>
        <v>0</v>
      </c>
      <c r="BE221" s="123"/>
      <c r="BF221" s="143">
        <f t="shared" si="401"/>
        <v>0</v>
      </c>
      <c r="BG221" s="123"/>
      <c r="BH221" s="143">
        <f t="shared" si="385"/>
        <v>0</v>
      </c>
      <c r="BI221" s="123"/>
      <c r="BJ221" s="143">
        <f t="shared" si="386"/>
        <v>0</v>
      </c>
      <c r="BK221" s="123"/>
      <c r="BL221" s="143">
        <f t="shared" si="387"/>
        <v>0</v>
      </c>
      <c r="BM221" s="123"/>
      <c r="BN221" s="143">
        <f t="shared" si="388"/>
        <v>0</v>
      </c>
      <c r="BO221" s="123"/>
      <c r="BP221" s="143">
        <f t="shared" si="389"/>
        <v>0</v>
      </c>
      <c r="BQ221" s="123"/>
      <c r="BR221" s="123"/>
      <c r="BS221" s="123"/>
      <c r="BT221" s="143">
        <f t="shared" si="390"/>
        <v>0</v>
      </c>
      <c r="BU221" s="123"/>
      <c r="BV221" s="123"/>
      <c r="BW221" s="123"/>
      <c r="BX221" s="143">
        <f t="shared" si="391"/>
        <v>0</v>
      </c>
      <c r="BY221" s="123"/>
      <c r="BZ221" s="143">
        <f t="shared" si="392"/>
        <v>0</v>
      </c>
      <c r="CA221" s="123"/>
      <c r="CB221" s="143">
        <f t="shared" si="393"/>
        <v>0</v>
      </c>
      <c r="CC221" s="123"/>
      <c r="CD221" s="146">
        <f t="shared" si="394"/>
        <v>0</v>
      </c>
      <c r="CE221" s="123"/>
      <c r="CF221" s="143">
        <f t="shared" si="395"/>
        <v>0</v>
      </c>
      <c r="CG221" s="132"/>
      <c r="CH221" s="143">
        <f t="shared" si="396"/>
        <v>0</v>
      </c>
      <c r="CI221" s="123"/>
      <c r="CJ221" s="127"/>
      <c r="CK221" s="123"/>
      <c r="CL221" s="123"/>
      <c r="CM221" s="130"/>
      <c r="CN221" s="143">
        <f t="shared" si="397"/>
        <v>0</v>
      </c>
      <c r="CO221" s="123"/>
      <c r="CP221" s="143">
        <f t="shared" si="398"/>
        <v>0</v>
      </c>
      <c r="CQ221" s="123"/>
      <c r="CR221" s="143">
        <f t="shared" si="399"/>
        <v>0</v>
      </c>
      <c r="CS221" s="123"/>
      <c r="CT221" s="143">
        <f t="shared" si="400"/>
        <v>0</v>
      </c>
      <c r="CU221" s="127"/>
      <c r="CV221" s="127"/>
      <c r="CW221" s="126">
        <f t="shared" si="294"/>
        <v>47</v>
      </c>
      <c r="CX221" s="126">
        <f t="shared" si="294"/>
        <v>14543814.150453167</v>
      </c>
    </row>
    <row r="222" spans="1:102" ht="43.5" customHeight="1" x14ac:dyDescent="0.25">
      <c r="A222" s="91"/>
      <c r="B222" s="116">
        <v>190</v>
      </c>
      <c r="C222" s="160" t="s">
        <v>533</v>
      </c>
      <c r="D222" s="148" t="s">
        <v>534</v>
      </c>
      <c r="E222" s="95">
        <v>28004</v>
      </c>
      <c r="F222" s="96">
        <v>29405</v>
      </c>
      <c r="G222" s="149">
        <v>13.01</v>
      </c>
      <c r="H222" s="107">
        <v>1</v>
      </c>
      <c r="I222" s="108"/>
      <c r="J222" s="108"/>
      <c r="K222" s="108"/>
      <c r="L222" s="163">
        <v>5.0200000000000002E-2</v>
      </c>
      <c r="M222" s="213">
        <v>1.4</v>
      </c>
      <c r="N222" s="213">
        <v>1.68</v>
      </c>
      <c r="O222" s="213">
        <v>2.23</v>
      </c>
      <c r="P222" s="214">
        <v>2.57</v>
      </c>
      <c r="Q222" s="122">
        <v>99</v>
      </c>
      <c r="R222" s="143">
        <f t="shared" si="370"/>
        <v>38591118.333525777</v>
      </c>
      <c r="S222" s="157"/>
      <c r="T222" s="144">
        <f t="shared" si="371"/>
        <v>0</v>
      </c>
      <c r="U222" s="143"/>
      <c r="V222" s="143">
        <f t="shared" si="372"/>
        <v>0</v>
      </c>
      <c r="W222" s="123"/>
      <c r="X222" s="143">
        <f t="shared" si="373"/>
        <v>0</v>
      </c>
      <c r="Y222" s="123"/>
      <c r="Z222" s="143">
        <f t="shared" si="374"/>
        <v>0</v>
      </c>
      <c r="AA222" s="123"/>
      <c r="AB222" s="143">
        <f t="shared" si="375"/>
        <v>0</v>
      </c>
      <c r="AC222" s="123"/>
      <c r="AD222" s="123"/>
      <c r="AE222" s="123"/>
      <c r="AF222" s="143">
        <f t="shared" si="376"/>
        <v>0</v>
      </c>
      <c r="AG222" s="123">
        <v>0</v>
      </c>
      <c r="AH222" s="143">
        <f t="shared" si="377"/>
        <v>0</v>
      </c>
      <c r="AI222" s="123"/>
      <c r="AJ222" s="143">
        <f t="shared" si="378"/>
        <v>0</v>
      </c>
      <c r="AK222" s="123"/>
      <c r="AL222" s="143">
        <f t="shared" si="379"/>
        <v>0</v>
      </c>
      <c r="AM222" s="129">
        <v>1</v>
      </c>
      <c r="AN222" s="143">
        <f t="shared" si="380"/>
        <v>403397.434168156</v>
      </c>
      <c r="AO222" s="130"/>
      <c r="AP222" s="143">
        <f t="shared" si="381"/>
        <v>0</v>
      </c>
      <c r="AQ222" s="143">
        <v>0</v>
      </c>
      <c r="AR222" s="143">
        <v>0</v>
      </c>
      <c r="AS222" s="123"/>
      <c r="AT222" s="123"/>
      <c r="AU222" s="123"/>
      <c r="AV222" s="123"/>
      <c r="AW222" s="123"/>
      <c r="AX222" s="143">
        <f t="shared" si="382"/>
        <v>0</v>
      </c>
      <c r="AY222" s="123">
        <v>0</v>
      </c>
      <c r="AZ222" s="143">
        <f t="shared" si="383"/>
        <v>0</v>
      </c>
      <c r="BA222" s="123"/>
      <c r="BB222" s="143">
        <f t="shared" si="384"/>
        <v>0</v>
      </c>
      <c r="BC222" s="123"/>
      <c r="BD222" s="146">
        <f t="shared" si="271"/>
        <v>0</v>
      </c>
      <c r="BE222" s="123"/>
      <c r="BF222" s="143">
        <f t="shared" si="401"/>
        <v>0</v>
      </c>
      <c r="BG222" s="123"/>
      <c r="BH222" s="143">
        <f t="shared" si="385"/>
        <v>0</v>
      </c>
      <c r="BI222" s="123"/>
      <c r="BJ222" s="143">
        <f t="shared" si="386"/>
        <v>0</v>
      </c>
      <c r="BK222" s="123"/>
      <c r="BL222" s="143">
        <f t="shared" si="387"/>
        <v>0</v>
      </c>
      <c r="BM222" s="123"/>
      <c r="BN222" s="143">
        <f t="shared" si="388"/>
        <v>0</v>
      </c>
      <c r="BO222" s="123"/>
      <c r="BP222" s="143">
        <f t="shared" si="389"/>
        <v>0</v>
      </c>
      <c r="BQ222" s="123"/>
      <c r="BR222" s="123"/>
      <c r="BS222" s="123"/>
      <c r="BT222" s="143">
        <f t="shared" si="390"/>
        <v>0</v>
      </c>
      <c r="BU222" s="123"/>
      <c r="BV222" s="123"/>
      <c r="BW222" s="123"/>
      <c r="BX222" s="143">
        <f t="shared" si="391"/>
        <v>0</v>
      </c>
      <c r="BY222" s="123"/>
      <c r="BZ222" s="143">
        <f>(BY222/12*2*$E222*$G222*((1-$L222)+$L222*$H222*BZ$11*$M222))+(BY222/12*10*$F222*$G222*((1-$L222)+$L222*$H222*BZ$11*$M222))</f>
        <v>0</v>
      </c>
      <c r="CA222" s="123"/>
      <c r="CB222" s="143">
        <f t="shared" si="393"/>
        <v>0</v>
      </c>
      <c r="CC222" s="123"/>
      <c r="CD222" s="146">
        <f t="shared" si="394"/>
        <v>0</v>
      </c>
      <c r="CE222" s="123"/>
      <c r="CF222" s="143">
        <f t="shared" si="395"/>
        <v>0</v>
      </c>
      <c r="CG222" s="132"/>
      <c r="CH222" s="143">
        <f t="shared" si="396"/>
        <v>0</v>
      </c>
      <c r="CI222" s="123"/>
      <c r="CJ222" s="127"/>
      <c r="CK222" s="123"/>
      <c r="CL222" s="123"/>
      <c r="CM222" s="130"/>
      <c r="CN222" s="143">
        <f t="shared" si="397"/>
        <v>0</v>
      </c>
      <c r="CO222" s="123"/>
      <c r="CP222" s="143">
        <f t="shared" si="398"/>
        <v>0</v>
      </c>
      <c r="CQ222" s="123"/>
      <c r="CR222" s="143">
        <f t="shared" si="399"/>
        <v>0</v>
      </c>
      <c r="CS222" s="123"/>
      <c r="CT222" s="143">
        <f t="shared" si="400"/>
        <v>0</v>
      </c>
      <c r="CU222" s="127"/>
      <c r="CV222" s="127"/>
      <c r="CW222" s="126">
        <f t="shared" si="294"/>
        <v>100</v>
      </c>
      <c r="CX222" s="126">
        <f t="shared" si="294"/>
        <v>38994515.767693929</v>
      </c>
    </row>
    <row r="223" spans="1:102" ht="42" customHeight="1" x14ac:dyDescent="0.25">
      <c r="A223" s="91"/>
      <c r="B223" s="116">
        <v>191</v>
      </c>
      <c r="C223" s="160" t="s">
        <v>535</v>
      </c>
      <c r="D223" s="148" t="s">
        <v>536</v>
      </c>
      <c r="E223" s="95">
        <v>28004</v>
      </c>
      <c r="F223" s="96">
        <v>29405</v>
      </c>
      <c r="G223" s="149">
        <v>15.66</v>
      </c>
      <c r="H223" s="107">
        <v>1</v>
      </c>
      <c r="I223" s="108"/>
      <c r="J223" s="108"/>
      <c r="K223" s="108"/>
      <c r="L223" s="163">
        <v>0.1699</v>
      </c>
      <c r="M223" s="213">
        <v>1.4</v>
      </c>
      <c r="N223" s="213">
        <v>1.68</v>
      </c>
      <c r="O223" s="213">
        <v>2.23</v>
      </c>
      <c r="P223" s="214">
        <v>2.57</v>
      </c>
      <c r="Q223" s="122">
        <v>144</v>
      </c>
      <c r="R223" s="143">
        <f t="shared" si="370"/>
        <v>71818217.244682565</v>
      </c>
      <c r="S223" s="157"/>
      <c r="T223" s="144">
        <f t="shared" si="371"/>
        <v>0</v>
      </c>
      <c r="U223" s="143"/>
      <c r="V223" s="143">
        <f t="shared" si="372"/>
        <v>0</v>
      </c>
      <c r="W223" s="123"/>
      <c r="X223" s="143">
        <f t="shared" si="373"/>
        <v>0</v>
      </c>
      <c r="Y223" s="123">
        <v>14</v>
      </c>
      <c r="Z223" s="143">
        <f t="shared" si="374"/>
        <v>7349251.2615509424</v>
      </c>
      <c r="AA223" s="123"/>
      <c r="AB223" s="143">
        <f t="shared" si="375"/>
        <v>0</v>
      </c>
      <c r="AC223" s="123"/>
      <c r="AD223" s="123"/>
      <c r="AE223" s="123"/>
      <c r="AF223" s="143">
        <f t="shared" si="376"/>
        <v>0</v>
      </c>
      <c r="AG223" s="123">
        <v>0</v>
      </c>
      <c r="AH223" s="143">
        <f t="shared" si="377"/>
        <v>0</v>
      </c>
      <c r="AI223" s="123"/>
      <c r="AJ223" s="143">
        <f t="shared" si="378"/>
        <v>0</v>
      </c>
      <c r="AK223" s="123"/>
      <c r="AL223" s="143">
        <f t="shared" si="379"/>
        <v>0</v>
      </c>
      <c r="AM223" s="129"/>
      <c r="AN223" s="143">
        <f t="shared" si="380"/>
        <v>0</v>
      </c>
      <c r="AO223" s="130"/>
      <c r="AP223" s="143">
        <f t="shared" si="381"/>
        <v>0</v>
      </c>
      <c r="AQ223" s="143">
        <v>0</v>
      </c>
      <c r="AR223" s="143">
        <v>0</v>
      </c>
      <c r="AS223" s="123"/>
      <c r="AT223" s="123"/>
      <c r="AU223" s="123"/>
      <c r="AV223" s="123"/>
      <c r="AW223" s="123"/>
      <c r="AX223" s="143">
        <f t="shared" si="382"/>
        <v>0</v>
      </c>
      <c r="AY223" s="123">
        <v>0</v>
      </c>
      <c r="AZ223" s="143">
        <f t="shared" si="383"/>
        <v>0</v>
      </c>
      <c r="BA223" s="123"/>
      <c r="BB223" s="143">
        <f t="shared" si="384"/>
        <v>0</v>
      </c>
      <c r="BC223" s="123"/>
      <c r="BD223" s="146">
        <f t="shared" si="271"/>
        <v>0</v>
      </c>
      <c r="BE223" s="123"/>
      <c r="BF223" s="143">
        <f t="shared" si="401"/>
        <v>0</v>
      </c>
      <c r="BG223" s="123"/>
      <c r="BH223" s="143">
        <f t="shared" si="385"/>
        <v>0</v>
      </c>
      <c r="BI223" s="123"/>
      <c r="BJ223" s="143">
        <f t="shared" si="386"/>
        <v>0</v>
      </c>
      <c r="BK223" s="123"/>
      <c r="BL223" s="143">
        <f t="shared" si="387"/>
        <v>0</v>
      </c>
      <c r="BM223" s="123"/>
      <c r="BN223" s="143">
        <f t="shared" si="388"/>
        <v>0</v>
      </c>
      <c r="BO223" s="123"/>
      <c r="BP223" s="143">
        <f t="shared" si="389"/>
        <v>0</v>
      </c>
      <c r="BQ223" s="123"/>
      <c r="BR223" s="123"/>
      <c r="BS223" s="123"/>
      <c r="BT223" s="143">
        <f t="shared" si="390"/>
        <v>0</v>
      </c>
      <c r="BU223" s="123"/>
      <c r="BV223" s="123"/>
      <c r="BW223" s="123"/>
      <c r="BX223" s="143">
        <f t="shared" si="391"/>
        <v>0</v>
      </c>
      <c r="BY223" s="123"/>
      <c r="BZ223" s="143">
        <f t="shared" si="392"/>
        <v>0</v>
      </c>
      <c r="CA223" s="123"/>
      <c r="CB223" s="143">
        <f t="shared" si="393"/>
        <v>0</v>
      </c>
      <c r="CC223" s="123"/>
      <c r="CD223" s="146">
        <f t="shared" si="394"/>
        <v>0</v>
      </c>
      <c r="CE223" s="123"/>
      <c r="CF223" s="143">
        <f t="shared" si="395"/>
        <v>0</v>
      </c>
      <c r="CG223" s="132"/>
      <c r="CH223" s="143">
        <f t="shared" si="396"/>
        <v>0</v>
      </c>
      <c r="CI223" s="123"/>
      <c r="CJ223" s="127"/>
      <c r="CK223" s="123"/>
      <c r="CL223" s="123"/>
      <c r="CM223" s="130"/>
      <c r="CN223" s="143">
        <f t="shared" si="397"/>
        <v>0</v>
      </c>
      <c r="CO223" s="123"/>
      <c r="CP223" s="143">
        <f t="shared" si="398"/>
        <v>0</v>
      </c>
      <c r="CQ223" s="123"/>
      <c r="CR223" s="143">
        <f t="shared" si="399"/>
        <v>0</v>
      </c>
      <c r="CS223" s="123"/>
      <c r="CT223" s="143">
        <f t="shared" si="400"/>
        <v>0</v>
      </c>
      <c r="CU223" s="127"/>
      <c r="CV223" s="127"/>
      <c r="CW223" s="126">
        <f t="shared" si="294"/>
        <v>158</v>
      </c>
      <c r="CX223" s="126">
        <f t="shared" si="294"/>
        <v>79167468.506233513</v>
      </c>
    </row>
    <row r="224" spans="1:102" ht="45" customHeight="1" x14ac:dyDescent="0.25">
      <c r="A224" s="91"/>
      <c r="B224" s="116">
        <v>192</v>
      </c>
      <c r="C224" s="160" t="s">
        <v>537</v>
      </c>
      <c r="D224" s="148" t="s">
        <v>538</v>
      </c>
      <c r="E224" s="95">
        <v>28004</v>
      </c>
      <c r="F224" s="96">
        <v>29405</v>
      </c>
      <c r="G224" s="149">
        <v>18.600000000000001</v>
      </c>
      <c r="H224" s="107">
        <v>1</v>
      </c>
      <c r="I224" s="108"/>
      <c r="J224" s="108"/>
      <c r="K224" s="108"/>
      <c r="L224" s="163">
        <v>0.26290000000000002</v>
      </c>
      <c r="M224" s="213">
        <v>1.4</v>
      </c>
      <c r="N224" s="213">
        <v>1.68</v>
      </c>
      <c r="O224" s="213">
        <v>2.23</v>
      </c>
      <c r="P224" s="214">
        <v>2.57</v>
      </c>
      <c r="Q224" s="122">
        <v>50</v>
      </c>
      <c r="R224" s="143">
        <f t="shared" si="370"/>
        <v>30980960.887170006</v>
      </c>
      <c r="S224" s="157"/>
      <c r="T224" s="144">
        <f t="shared" si="371"/>
        <v>0</v>
      </c>
      <c r="U224" s="143"/>
      <c r="V224" s="143">
        <f t="shared" si="372"/>
        <v>0</v>
      </c>
      <c r="W224" s="123"/>
      <c r="X224" s="143">
        <f t="shared" si="373"/>
        <v>0</v>
      </c>
      <c r="Y224" s="123">
        <v>6</v>
      </c>
      <c r="Z224" s="143">
        <f t="shared" si="374"/>
        <v>4006728.9999365998</v>
      </c>
      <c r="AA224" s="123"/>
      <c r="AB224" s="143">
        <f t="shared" si="375"/>
        <v>0</v>
      </c>
      <c r="AC224" s="123"/>
      <c r="AD224" s="123"/>
      <c r="AE224" s="123"/>
      <c r="AF224" s="143">
        <f t="shared" si="376"/>
        <v>0</v>
      </c>
      <c r="AG224" s="123">
        <v>0</v>
      </c>
      <c r="AH224" s="143">
        <f t="shared" si="377"/>
        <v>0</v>
      </c>
      <c r="AI224" s="123"/>
      <c r="AJ224" s="143">
        <f t="shared" si="378"/>
        <v>0</v>
      </c>
      <c r="AK224" s="123"/>
      <c r="AL224" s="143">
        <f t="shared" si="379"/>
        <v>0</v>
      </c>
      <c r="AM224" s="129"/>
      <c r="AN224" s="143">
        <f t="shared" si="380"/>
        <v>0</v>
      </c>
      <c r="AO224" s="130"/>
      <c r="AP224" s="143">
        <f t="shared" si="381"/>
        <v>0</v>
      </c>
      <c r="AQ224" s="143">
        <v>0</v>
      </c>
      <c r="AR224" s="143">
        <v>0</v>
      </c>
      <c r="AS224" s="123"/>
      <c r="AT224" s="123"/>
      <c r="AU224" s="123"/>
      <c r="AV224" s="123"/>
      <c r="AW224" s="123"/>
      <c r="AX224" s="143">
        <f t="shared" si="382"/>
        <v>0</v>
      </c>
      <c r="AY224" s="123">
        <v>0</v>
      </c>
      <c r="AZ224" s="143">
        <f t="shared" si="383"/>
        <v>0</v>
      </c>
      <c r="BA224" s="123"/>
      <c r="BB224" s="143">
        <f t="shared" si="384"/>
        <v>0</v>
      </c>
      <c r="BC224" s="123"/>
      <c r="BD224" s="146">
        <f t="shared" si="271"/>
        <v>0</v>
      </c>
      <c r="BE224" s="123"/>
      <c r="BF224" s="143">
        <f t="shared" si="401"/>
        <v>0</v>
      </c>
      <c r="BG224" s="123"/>
      <c r="BH224" s="143">
        <f t="shared" si="385"/>
        <v>0</v>
      </c>
      <c r="BI224" s="123"/>
      <c r="BJ224" s="143">
        <f t="shared" si="386"/>
        <v>0</v>
      </c>
      <c r="BK224" s="123"/>
      <c r="BL224" s="143">
        <f t="shared" si="387"/>
        <v>0</v>
      </c>
      <c r="BM224" s="123"/>
      <c r="BN224" s="143">
        <f t="shared" si="388"/>
        <v>0</v>
      </c>
      <c r="BO224" s="123"/>
      <c r="BP224" s="143">
        <f t="shared" si="389"/>
        <v>0</v>
      </c>
      <c r="BQ224" s="123"/>
      <c r="BR224" s="123"/>
      <c r="BS224" s="123"/>
      <c r="BT224" s="143">
        <f t="shared" si="390"/>
        <v>0</v>
      </c>
      <c r="BU224" s="123"/>
      <c r="BV224" s="123"/>
      <c r="BW224" s="123"/>
      <c r="BX224" s="143">
        <f t="shared" si="391"/>
        <v>0</v>
      </c>
      <c r="BY224" s="123"/>
      <c r="BZ224" s="143">
        <f t="shared" si="392"/>
        <v>0</v>
      </c>
      <c r="CA224" s="123"/>
      <c r="CB224" s="143">
        <f t="shared" si="393"/>
        <v>0</v>
      </c>
      <c r="CC224" s="123"/>
      <c r="CD224" s="146">
        <f t="shared" si="394"/>
        <v>0</v>
      </c>
      <c r="CE224" s="123"/>
      <c r="CF224" s="143">
        <f t="shared" si="395"/>
        <v>0</v>
      </c>
      <c r="CG224" s="132"/>
      <c r="CH224" s="143">
        <f t="shared" si="396"/>
        <v>0</v>
      </c>
      <c r="CI224" s="123"/>
      <c r="CJ224" s="127"/>
      <c r="CK224" s="123"/>
      <c r="CL224" s="123"/>
      <c r="CM224" s="130"/>
      <c r="CN224" s="143">
        <f t="shared" si="397"/>
        <v>0</v>
      </c>
      <c r="CO224" s="123"/>
      <c r="CP224" s="143">
        <f t="shared" si="398"/>
        <v>0</v>
      </c>
      <c r="CQ224" s="123"/>
      <c r="CR224" s="143">
        <f t="shared" si="399"/>
        <v>0</v>
      </c>
      <c r="CS224" s="123"/>
      <c r="CT224" s="143">
        <f t="shared" si="400"/>
        <v>0</v>
      </c>
      <c r="CU224" s="127"/>
      <c r="CV224" s="127"/>
      <c r="CW224" s="126">
        <f t="shared" si="294"/>
        <v>56</v>
      </c>
      <c r="CX224" s="126">
        <f t="shared" si="294"/>
        <v>34987689.887106605</v>
      </c>
    </row>
    <row r="225" spans="1:102" ht="30" customHeight="1" x14ac:dyDescent="0.25">
      <c r="A225" s="91"/>
      <c r="B225" s="116">
        <v>193</v>
      </c>
      <c r="C225" s="160" t="s">
        <v>539</v>
      </c>
      <c r="D225" s="118" t="s">
        <v>540</v>
      </c>
      <c r="E225" s="95">
        <v>28004</v>
      </c>
      <c r="F225" s="96">
        <v>29405</v>
      </c>
      <c r="G225" s="152">
        <v>2.64</v>
      </c>
      <c r="H225" s="107">
        <v>1</v>
      </c>
      <c r="I225" s="108"/>
      <c r="J225" s="108"/>
      <c r="K225" s="108"/>
      <c r="L225" s="215"/>
      <c r="M225" s="213">
        <v>1.4</v>
      </c>
      <c r="N225" s="213">
        <v>1.68</v>
      </c>
      <c r="O225" s="213">
        <v>2.23</v>
      </c>
      <c r="P225" s="214">
        <v>2.57</v>
      </c>
      <c r="Q225" s="122">
        <v>0</v>
      </c>
      <c r="R225" s="123">
        <f>(Q225/12*2*$E225*$G225*$H225*$M225*$R$11)+(Q225/12*10*$F225*$G225*$H225*$M225*$R$11)</f>
        <v>0</v>
      </c>
      <c r="S225" s="124"/>
      <c r="T225" s="125">
        <f>(S225/12*2*$E225*$G225*$H225*$M225*$R$11)+(S225/12*10*$F225*$G225*$H225*$M225*$R$11)</f>
        <v>0</v>
      </c>
      <c r="U225" s="123"/>
      <c r="V225" s="123">
        <f>(U225/12*2*$E225*$G225*$H225*$M225*$V$11)+(U225/12*10*$F225*$G225*$H225*$M225*$V$12)</f>
        <v>0</v>
      </c>
      <c r="W225" s="123"/>
      <c r="X225" s="126">
        <f>(W225/12*2*$E225*$G225*$H225*$M225*$X$11)+(W225/12*10*$F225*$G225*$H225*$M225*$X$12)</f>
        <v>0</v>
      </c>
      <c r="Y225" s="123"/>
      <c r="Z225" s="123">
        <f>(Y225/12*2*$E225*$G225*$H225*$M225*$Z$11)+(Y225/12*10*$F225*$G225*$H225*$M225*$Z$12)</f>
        <v>0</v>
      </c>
      <c r="AA225" s="123"/>
      <c r="AB225" s="123">
        <f>(AA225/12*2*$E225*$G225*$H225*$M225*$AB$11)+(AA225/12*10*$F225*$G225*$H225*$M225*$AB$11)</f>
        <v>0</v>
      </c>
      <c r="AC225" s="123"/>
      <c r="AD225" s="123"/>
      <c r="AE225" s="123"/>
      <c r="AF225" s="123">
        <f>(AE225/12*2*$E225*$G225*$H225*$M225*$AF$11)+(AE225/12*10*$F225*$G225*$H225*$M225*$AF$11)</f>
        <v>0</v>
      </c>
      <c r="AG225" s="123">
        <v>0</v>
      </c>
      <c r="AH225" s="126">
        <f>(AG225/12*2*$E225*$G225*$H225*$M225*$AH$11)+(AG225/12*10*$F225*$G225*$H225*$M225*$AH$11)</f>
        <v>0</v>
      </c>
      <c r="AI225" s="123"/>
      <c r="AJ225" s="123">
        <f t="shared" ref="AJ225:AJ226" si="402">(AI225/12*2*$E225*$G225*$H225*$M225*$AJ$11)+(AI225/12*5*$F225*$G225*$H225*$M225*$AJ$12)+(AI225/12*5*$F225*$G225*$H225*$M225*$AJ$13)</f>
        <v>0</v>
      </c>
      <c r="AK225" s="123"/>
      <c r="AL225" s="123">
        <f t="shared" ref="AL225:AL226" si="403">(AK225/12*2*$E225*$G225*$H225*$N225*$AL$11)+(AK225/12*5*$F225*$G225*$H225*$N225*$AL$12)++(AK225/12*5*$F225*$G225*$H225*$N225*$AL$13)</f>
        <v>0</v>
      </c>
      <c r="AM225" s="129">
        <v>0</v>
      </c>
      <c r="AN225" s="123">
        <f>(AM225/12*2*$E225*$G225*$H225*$N225*$AN$11)+(AM225/12*10*$F225*$G225*$H225*$N225*$AN$12)</f>
        <v>0</v>
      </c>
      <c r="AO225" s="130"/>
      <c r="AP225" s="127">
        <f>(AO225/12*2*$E225*$G225*$H225*$N225*$AP$11)+(AO225/12*10*$F225*$G225*$H225*$N225*$AP$11)</f>
        <v>0</v>
      </c>
      <c r="AQ225" s="127">
        <v>0</v>
      </c>
      <c r="AR225" s="127">
        <v>0</v>
      </c>
      <c r="AS225" s="123"/>
      <c r="AT225" s="123">
        <f>(AS225/12*2*$E225*$G225*$H225*$M225*$AT$11)+(AS225/12*10*$F225*$G225*$H225*$M225*$AT$11)</f>
        <v>0</v>
      </c>
      <c r="AU225" s="123"/>
      <c r="AV225" s="126">
        <f>(AU225/12*2*$E225*$G225*$H225*$M225*$AV$11)+(AU225/12*10*$F225*$G225*$H225*$M225*$AV$12)</f>
        <v>0</v>
      </c>
      <c r="AW225" s="123"/>
      <c r="AX225" s="123">
        <f>(AW225/12*2*$E225*$G225*$H225*$M225*$AX$11)+(AW225/12*10*$F225*$G225*$H225*$M225*$AX$12)</f>
        <v>0</v>
      </c>
      <c r="AY225" s="123">
        <v>0</v>
      </c>
      <c r="AZ225" s="123">
        <f>(AY225/12*2*$E225*$G225*$H225*$N225*$AZ$11)+(AY225/12*10*$F225*$G225*$H225*$N225*$AZ$11)</f>
        <v>0</v>
      </c>
      <c r="BA225" s="123"/>
      <c r="BB225" s="123">
        <f>(BA225/12*2*$E225*$G225*$H225*$N225*$BB$11)+(BA225/12*10*$F225*$G225*$H225*$N225*$BB$12)</f>
        <v>0</v>
      </c>
      <c r="BC225" s="123"/>
      <c r="BD225" s="126">
        <f t="shared" si="271"/>
        <v>0</v>
      </c>
      <c r="BE225" s="123"/>
      <c r="BF225" s="123">
        <f>(BE225/12*10*$F225*$G225*$H225*$N225*$BF$12)</f>
        <v>0</v>
      </c>
      <c r="BG225" s="123"/>
      <c r="BH225" s="123">
        <f>(BG225/12*2*$E225*$G225*$H225*$N225*$BH$11)+(BG225/12*10*$F225*$G225*$H225*$N225*$BH$11)</f>
        <v>0</v>
      </c>
      <c r="BI225" s="123"/>
      <c r="BJ225" s="126">
        <f>(BI225/12*2*$E225*$G225*$H225*$N225*$BJ$11)+(BI225/12*10*$F225*$G225*$H225*$N225*$BJ$11)</f>
        <v>0</v>
      </c>
      <c r="BK225" s="123"/>
      <c r="BL225" s="127">
        <f>(BK225/12*2*$E225*$G225*$H225*$N225*$BL$11)+(BK225/12*10*$F225*$G225*$H225*$N225*$BL$11)</f>
        <v>0</v>
      </c>
      <c r="BM225" s="123"/>
      <c r="BN225" s="123">
        <f>(BM225/12*2*$E225*$G225*$H225*$M225*$BN$11)+(BM225/12*10*$F225*$G225*$H225*$M225*$BN$11)</f>
        <v>0</v>
      </c>
      <c r="BO225" s="123"/>
      <c r="BP225" s="123">
        <f>(BO225/12*2*$E225*$G225*$H225*$M225*$BP$11)+(BO225/12*10*$F225*$G225*$H225*$M225*$BP$12)</f>
        <v>0</v>
      </c>
      <c r="BQ225" s="123"/>
      <c r="BR225" s="123">
        <f>(BQ225/12*2*$E225*$G225*$H225*$M225*$BR$11)+(BQ225/12*10*$F225*$G225*$H225*$M225*$BR$11)</f>
        <v>0</v>
      </c>
      <c r="BS225" s="123"/>
      <c r="BT225" s="123">
        <f>(BS225/12*2*$E225*$G225*$H225*$N225*$BT$11)+(BS225/12*10*$F225*$G225*$H225*$N225*$BT$11)</f>
        <v>0</v>
      </c>
      <c r="BU225" s="123"/>
      <c r="BV225" s="126">
        <f>(BU225/12*2*$E225*$G225*$H225*$M225*$BV$11)+(BU225/12*10*$F225*$G225*$H225*$M225*$BV$11)</f>
        <v>0</v>
      </c>
      <c r="BW225" s="123"/>
      <c r="BX225" s="123">
        <f>(BW225/12*2*$E225*$G225*$H225*$M225*$BX$11)+(BW225/12*10*$F225*$G225*$H225*$M225*$BX$11)</f>
        <v>0</v>
      </c>
      <c r="BY225" s="123"/>
      <c r="BZ225" s="123">
        <f>(BY225/12*2*$E225*$G225*$H225*$M225*$BZ$11)+(BY225/12*10*$F225*$G225*$H225*$M225*$BZ$11)</f>
        <v>0</v>
      </c>
      <c r="CA225" s="123"/>
      <c r="CB225" s="123">
        <f>(CA225/12*2*$E225*$G225*$H225*$M225*$CB$11)+(CA225/12*10*$F225*$G225*$H225*$M225*$CB$11)</f>
        <v>0</v>
      </c>
      <c r="CC225" s="123"/>
      <c r="CD225" s="123">
        <f>(CC225/12*2*$E225*$G225*$H225*$M225*$CD$11)+(CC225/12*10*$F225*$G225*$H225*$M225*$CD$11)</f>
        <v>0</v>
      </c>
      <c r="CE225" s="123"/>
      <c r="CF225" s="123">
        <f>(CE225/12*10*$F225*$G225*$H225*$N225*$CF$11)</f>
        <v>0</v>
      </c>
      <c r="CG225" s="132"/>
      <c r="CH225" s="123">
        <f>(CG225/12*2*$E225*$G225*$H225*$N225*$CH$11)+(CG225/12*10*$F225*$G225*$H225*$N225*$CH$11)</f>
        <v>0</v>
      </c>
      <c r="CI225" s="123"/>
      <c r="CJ225" s="127"/>
      <c r="CK225" s="123"/>
      <c r="CL225" s="123">
        <f>(CK225/12*2*$E225*$G225*$H225*$N225*$CL$11)+(CK225/12*10*$F225*$G225*$H225*$N225*$CL$12)</f>
        <v>0</v>
      </c>
      <c r="CM225" s="130"/>
      <c r="CN225" s="123">
        <f>(CM225/12*2*$E225*$G225*$H225*$N225*$CN$11)+(CM225/12*10*$F225*$G225*$H225*$N225*$CN$11)</f>
        <v>0</v>
      </c>
      <c r="CO225" s="123"/>
      <c r="CP225" s="123">
        <f>(CO225/12*2*$E225*$G225*$H225*$N225*$CP$11)+(CO225/12*10*$F225*$G225*$H225*$N225*$CP$11)</f>
        <v>0</v>
      </c>
      <c r="CQ225" s="123"/>
      <c r="CR225" s="123">
        <f>(CQ225/12*2*$E225*$G225*$H225*$O225*$CR$11)+(CQ225/12*10*$F225*$G225*$H225*$O225*$CR$11)</f>
        <v>0</v>
      </c>
      <c r="CS225" s="123"/>
      <c r="CT225" s="133">
        <f>(CS225/12*2*$E225*$G225*$H225*$P225*$CT$11)+(CS225/12*10*$F225*$G225*$H225*$P225*$CT$11)</f>
        <v>0</v>
      </c>
      <c r="CU225" s="127"/>
      <c r="CV225" s="123">
        <f>(CU225*$E225*$G225*$H225*$M225*CV$11)/12*6+(CU225*$E225*$G225*$H225*1*CV$11)/12*6</f>
        <v>0</v>
      </c>
      <c r="CW225" s="126">
        <f t="shared" si="294"/>
        <v>0</v>
      </c>
      <c r="CX225" s="126">
        <f t="shared" si="294"/>
        <v>0</v>
      </c>
    </row>
    <row r="226" spans="1:102" ht="30" customHeight="1" x14ac:dyDescent="0.25">
      <c r="A226" s="91"/>
      <c r="B226" s="116">
        <v>194</v>
      </c>
      <c r="C226" s="160" t="s">
        <v>541</v>
      </c>
      <c r="D226" s="118" t="s">
        <v>542</v>
      </c>
      <c r="E226" s="95">
        <v>28004</v>
      </c>
      <c r="F226" s="96">
        <v>29405</v>
      </c>
      <c r="G226" s="152">
        <v>19.75</v>
      </c>
      <c r="H226" s="107">
        <v>1</v>
      </c>
      <c r="I226" s="108"/>
      <c r="J226" s="108"/>
      <c r="K226" s="108"/>
      <c r="L226" s="215"/>
      <c r="M226" s="213">
        <v>1.4</v>
      </c>
      <c r="N226" s="213">
        <v>1.68</v>
      </c>
      <c r="O226" s="213">
        <v>2.23</v>
      </c>
      <c r="P226" s="214">
        <v>2.57</v>
      </c>
      <c r="Q226" s="122">
        <v>0</v>
      </c>
      <c r="R226" s="123">
        <f>(Q226/12*2*$E226*$G226*$H226*$M226*$R$11)+(Q226/12*10*$F226*$G226*$H226*$M226*$R$11)</f>
        <v>0</v>
      </c>
      <c r="S226" s="124"/>
      <c r="T226" s="125">
        <f>(S226/12*2*$E226*$G226*$H226*$M226*$R$11)+(S226/12*10*$F226*$G226*$H226*$M226*$R$11)</f>
        <v>0</v>
      </c>
      <c r="U226" s="123"/>
      <c r="V226" s="123">
        <f>(U226/12*2*$E226*$G226*$H226*$M226*$V$11)+(U226/12*10*$F226*$G226*$H226*$M226*$V$12)</f>
        <v>0</v>
      </c>
      <c r="W226" s="123"/>
      <c r="X226" s="126">
        <f>(W226/12*2*$E226*$G226*$H226*$M226*$X$11)+(W226/12*10*$F226*$G226*$H226*$M226*$X$12)</f>
        <v>0</v>
      </c>
      <c r="Y226" s="123"/>
      <c r="Z226" s="123">
        <f>(Y226/12*2*$E226*$G226*$H226*$M226*$Z$11)+(Y226/12*10*$F226*$G226*$H226*$M226*$Z$12)</f>
        <v>0</v>
      </c>
      <c r="AA226" s="123"/>
      <c r="AB226" s="123">
        <f>(AA226/12*2*$E226*$G226*$H226*$M226*$AB$11)+(AA226/12*10*$F226*$G226*$H226*$M226*$AB$11)</f>
        <v>0</v>
      </c>
      <c r="AC226" s="123"/>
      <c r="AD226" s="123"/>
      <c r="AE226" s="123"/>
      <c r="AF226" s="123">
        <f>(AE226/12*2*$E226*$G226*$H226*$M226*$AF$11)+(AE226/12*10*$F226*$G226*$H226*$M226*$AF$11)</f>
        <v>0</v>
      </c>
      <c r="AG226" s="123">
        <v>0</v>
      </c>
      <c r="AH226" s="126">
        <f>(AG226/12*2*$E226*$G226*$H226*$M226*$AH$11)+(AG226/12*10*$F226*$G226*$H226*$M226*$AH$11)</f>
        <v>0</v>
      </c>
      <c r="AI226" s="123"/>
      <c r="AJ226" s="123">
        <f t="shared" si="402"/>
        <v>0</v>
      </c>
      <c r="AK226" s="123"/>
      <c r="AL226" s="123">
        <f t="shared" si="403"/>
        <v>0</v>
      </c>
      <c r="AM226" s="129">
        <v>0</v>
      </c>
      <c r="AN226" s="123">
        <f>(AM226/12*2*$E226*$G226*$H226*$N226*$AN$11)+(AM226/12*10*$F226*$G226*$H226*$N226*$AN$12)</f>
        <v>0</v>
      </c>
      <c r="AO226" s="130"/>
      <c r="AP226" s="127">
        <f>(AO226/12*2*$E226*$G226*$H226*$N226*$AP$11)+(AO226/12*10*$F226*$G226*$H226*$N226*$AP$11)</f>
        <v>0</v>
      </c>
      <c r="AQ226" s="127">
        <v>0</v>
      </c>
      <c r="AR226" s="127">
        <v>0</v>
      </c>
      <c r="AS226" s="123"/>
      <c r="AT226" s="123">
        <f>(AS226/12*2*$E226*$G226*$H226*$M226*$AT$11)+(AS226/12*10*$F226*$G226*$H226*$M226*$AT$11)</f>
        <v>0</v>
      </c>
      <c r="AU226" s="123"/>
      <c r="AV226" s="126">
        <f>(AU226/12*2*$E226*$G226*$H226*$M226*$AV$11)+(AU226/12*10*$F226*$G226*$H226*$M226*$AV$12)</f>
        <v>0</v>
      </c>
      <c r="AW226" s="123"/>
      <c r="AX226" s="123">
        <f>(AW226/12*2*$E226*$G226*$H226*$M226*$AX$11)+(AW226/12*10*$F226*$G226*$H226*$M226*$AX$12)</f>
        <v>0</v>
      </c>
      <c r="AY226" s="123">
        <v>0</v>
      </c>
      <c r="AZ226" s="123">
        <f>(AY226/12*2*$E226*$G226*$H226*$N226*$AZ$11)+(AY226/12*10*$F226*$G226*$H226*$N226*$AZ$11)</f>
        <v>0</v>
      </c>
      <c r="BA226" s="123"/>
      <c r="BB226" s="123">
        <f>(BA226/12*2*$E226*$G226*$H226*$N226*$BB$11)+(BA226/12*10*$F226*$G226*$H226*$N226*$BB$12)</f>
        <v>0</v>
      </c>
      <c r="BC226" s="123"/>
      <c r="BD226" s="126">
        <f t="shared" si="271"/>
        <v>0</v>
      </c>
      <c r="BE226" s="123"/>
      <c r="BF226" s="123">
        <f>(BE226/12*10*$F226*$G226*$H226*$N226*$BF$12)</f>
        <v>0</v>
      </c>
      <c r="BG226" s="123"/>
      <c r="BH226" s="123">
        <f>(BG226/12*2*$E226*$G226*$H226*$N226*$BH$11)+(BG226/12*10*$F226*$G226*$H226*$N226*$BH$11)</f>
        <v>0</v>
      </c>
      <c r="BI226" s="123"/>
      <c r="BJ226" s="126">
        <f>(BI226/12*2*$E226*$G226*$H226*$N226*$BJ$11)+(BI226/12*10*$F226*$G226*$H226*$N226*$BJ$11)</f>
        <v>0</v>
      </c>
      <c r="BK226" s="123"/>
      <c r="BL226" s="127">
        <f>(BK226/12*2*$E226*$G226*$H226*$N226*$BL$11)+(BK226/12*10*$F226*$G226*$H226*$N226*$BL$11)</f>
        <v>0</v>
      </c>
      <c r="BM226" s="123"/>
      <c r="BN226" s="123">
        <f>(BM226/12*2*$E226*$G226*$H226*$M226*$BN$11)+(BM226/12*10*$F226*$G226*$H226*$M226*$BN$11)</f>
        <v>0</v>
      </c>
      <c r="BO226" s="123"/>
      <c r="BP226" s="123">
        <f>(BO226/12*2*$E226*$G226*$H226*$M226*$BP$11)+(BO226/12*10*$F226*$G226*$H226*$M226*$BP$12)</f>
        <v>0</v>
      </c>
      <c r="BQ226" s="123"/>
      <c r="BR226" s="123">
        <f>(BQ226/12*2*$E226*$G226*$H226*$M226*$BR$11)+(BQ226/12*10*$F226*$G226*$H226*$M226*$BR$11)</f>
        <v>0</v>
      </c>
      <c r="BS226" s="123"/>
      <c r="BT226" s="123">
        <f>(BS226/12*2*$E226*$G226*$H226*$N226*$BT$11)+(BS226/12*10*$F226*$G226*$H226*$N226*$BT$11)</f>
        <v>0</v>
      </c>
      <c r="BU226" s="123"/>
      <c r="BV226" s="126">
        <f>(BU226/12*2*$E226*$G226*$H226*$M226*$BV$11)+(BU226/12*10*$F226*$G226*$H226*$M226*$BV$11)</f>
        <v>0</v>
      </c>
      <c r="BW226" s="123"/>
      <c r="BX226" s="123">
        <f>(BW226/12*2*$E226*$G226*$H226*$M226*$BX$11)+(BW226/12*10*$F226*$G226*$H226*$M226*$BX$11)</f>
        <v>0</v>
      </c>
      <c r="BY226" s="123"/>
      <c r="BZ226" s="123">
        <f>(BY226/12*2*$E226*$G226*$H226*$M226*$BZ$11)+(BY226/12*10*$F226*$G226*$H226*$M226*$BZ$11)</f>
        <v>0</v>
      </c>
      <c r="CA226" s="123"/>
      <c r="CB226" s="123">
        <f>(CA226/12*2*$E226*$G226*$H226*$M226*$CB$11)+(CA226/12*10*$F226*$G226*$H226*$M226*$CB$11)</f>
        <v>0</v>
      </c>
      <c r="CC226" s="123"/>
      <c r="CD226" s="123">
        <f>(CC226/12*2*$E226*$G226*$H226*$M226*$CD$11)+(CC226/12*10*$F226*$G226*$H226*$M226*$CD$11)</f>
        <v>0</v>
      </c>
      <c r="CE226" s="123"/>
      <c r="CF226" s="123">
        <f>(CE226/12*10*$F226*$G226*$H226*$N226*$CF$11)</f>
        <v>0</v>
      </c>
      <c r="CG226" s="132"/>
      <c r="CH226" s="123">
        <f>(CG226/12*2*$E226*$G226*$H226*$N226*$CH$11)+(CG226/12*10*$F226*$G226*$H226*$N226*$CH$11)</f>
        <v>0</v>
      </c>
      <c r="CI226" s="123"/>
      <c r="CJ226" s="127"/>
      <c r="CK226" s="123"/>
      <c r="CL226" s="123">
        <f>(CK226/12*2*$E226*$G226*$H226*$N226*$CL$11)+(CK226/12*10*$F226*$G226*$H226*$N226*$CL$12)</f>
        <v>0</v>
      </c>
      <c r="CM226" s="130"/>
      <c r="CN226" s="123">
        <f>(CM226/12*2*$E226*$G226*$H226*$N226*$CN$11)+(CM226/12*10*$F226*$G226*$H226*$N226*$CN$11)</f>
        <v>0</v>
      </c>
      <c r="CO226" s="123"/>
      <c r="CP226" s="123">
        <f>(CO226/12*2*$E226*$G226*$H226*$N226*$CP$11)+(CO226/12*10*$F226*$G226*$H226*$N226*$CP$11)</f>
        <v>0</v>
      </c>
      <c r="CQ226" s="123"/>
      <c r="CR226" s="123">
        <f>(CQ226/12*2*$E226*$G226*$H226*$O226*$CR$11)+(CQ226/12*10*$F226*$G226*$H226*$O226*$CR$11)</f>
        <v>0</v>
      </c>
      <c r="CS226" s="123"/>
      <c r="CT226" s="133">
        <f>(CS226/12*2*$E226*$G226*$H226*$P226*$CT$11)+(CS226/12*10*$F226*$G226*$H226*$P226*$CT$11)</f>
        <v>0</v>
      </c>
      <c r="CU226" s="127"/>
      <c r="CV226" s="123">
        <f>(CU226*$E226*$G226*$H226*$M226*CV$11)/12*6+(CU226*$E226*$G226*$H226*1*CV$11)/12*6</f>
        <v>0</v>
      </c>
      <c r="CW226" s="126">
        <f t="shared" si="294"/>
        <v>0</v>
      </c>
      <c r="CX226" s="126">
        <f t="shared" si="294"/>
        <v>0</v>
      </c>
    </row>
    <row r="227" spans="1:102" ht="30" customHeight="1" x14ac:dyDescent="0.25">
      <c r="A227" s="91"/>
      <c r="B227" s="116">
        <v>195</v>
      </c>
      <c r="C227" s="117" t="s">
        <v>543</v>
      </c>
      <c r="D227" s="155" t="s">
        <v>544</v>
      </c>
      <c r="E227" s="95">
        <v>28004</v>
      </c>
      <c r="F227" s="96">
        <v>29405</v>
      </c>
      <c r="G227" s="156">
        <v>21.02</v>
      </c>
      <c r="H227" s="107">
        <v>1</v>
      </c>
      <c r="I227" s="108"/>
      <c r="J227" s="108"/>
      <c r="K227" s="108"/>
      <c r="L227" s="142">
        <v>0.62439999999999996</v>
      </c>
      <c r="M227" s="213">
        <v>1.4</v>
      </c>
      <c r="N227" s="213">
        <v>1.68</v>
      </c>
      <c r="O227" s="213">
        <v>2.23</v>
      </c>
      <c r="P227" s="214">
        <v>2.57</v>
      </c>
      <c r="Q227" s="122">
        <v>2</v>
      </c>
      <c r="R227" s="143">
        <f t="shared" ref="R227:R275" si="404">(Q227/12*2*$E227*$G227*((1-$L227)+$L227*$M227*$R$11*$H227))+(Q227/12*10*$F227*$G227*((1-$L227)+$L227*$M227*$R$11*$H227))</f>
        <v>1639872.3439153596</v>
      </c>
      <c r="S227" s="124"/>
      <c r="T227" s="144">
        <f>(S227/12*2*$E227*$G227*((1-$L227)+$L227*$M227*$R$11*$H227))+(S227/12*10*$F227*$G227*((1-$L227)+$L227*$M227*$R$11*$H227))</f>
        <v>0</v>
      </c>
      <c r="U227" s="143"/>
      <c r="V227" s="143">
        <f t="shared" ref="V227:V275" si="405">(U227/12*2*$E227*$G227*((1-$L227)+$L227*$M227*V$11*$H227))+(U227/12*10*$F227*$G227*((1-$L227)+$L227*$M227*V$12*$H227))</f>
        <v>0</v>
      </c>
      <c r="W227" s="123"/>
      <c r="X227" s="143">
        <f t="shared" ref="X227:X275" si="406">(W227/12*2*$E227*$G227*((1-$L227)+$L227*$M227*$X$11*$H227))+(W227/12*10*$F227*$G227*((1-$L227)+$L227*$M227*$X$12*$H227))</f>
        <v>0</v>
      </c>
      <c r="Y227" s="123"/>
      <c r="Z227" s="143">
        <f t="shared" ref="Z227:Z275" si="407">(Y227/12*2*$E227*$G227*((1-$L227)+$L227*$M227*$Z$11*$H227))+(Y227/12*10*$F227*$G227*((1-$L227)+$L227*$M227*$Z$12*$H227))</f>
        <v>0</v>
      </c>
      <c r="AA227" s="123"/>
      <c r="AB227" s="143">
        <f t="shared" ref="AB227:AB275" si="408">(AA227/12*2*$E227*$G227*((1-$L227)+$L227*$M227*$AB$11*$H227))+(AA227/12*10*$F227*$G227*((1-$L227)+$L227*$M227*$AB$11*$H227))</f>
        <v>0</v>
      </c>
      <c r="AC227" s="123"/>
      <c r="AD227" s="123"/>
      <c r="AE227" s="123"/>
      <c r="AF227" s="143">
        <f t="shared" ref="AF227:AF275" si="409">(AE227/12*2*$E227*$G227*((1-$L227)+$L227*$M227*AF$11*$H227))+(AE227/12*10*$F227*$G227*((1-$L227)+$L227*$M227*AF$11*$H227))</f>
        <v>0</v>
      </c>
      <c r="AG227" s="123">
        <v>0</v>
      </c>
      <c r="AH227" s="143">
        <f t="shared" ref="AH227:AH275" si="410">(AG227/12*2*$E227*$G227*((1-$L227)+$L227*$H227*AH$11*$M227))+(AG227/12*10*$F227*$G227*((1-$L227)+$L227*$H227*AH$11*$M227))</f>
        <v>0</v>
      </c>
      <c r="AI227" s="123"/>
      <c r="AJ227" s="143">
        <f t="shared" ref="AJ227:AJ275" si="411">(AI227/12*2*$E227*$G227*((1-$L227)+$L227*$H227*AJ$11*$M227))+(AI227/12*5*$F227*$G227*((1-$L227)+$L227*$H227*AJ$12*$M227))+(AI227/12*5*$F227*$G227*((1-$L227)+$L227*$H227*AJ$13*$M227))</f>
        <v>0</v>
      </c>
      <c r="AK227" s="123"/>
      <c r="AL227" s="143">
        <f t="shared" ref="AL227:AL275" si="412">(AK227/12*2*$E227*$G227*((1-$L227)+$L227*$H227*AL$11*$N227))+(AK227/12*4*$F227*$G227*((1-$L227)+$L227*$H227*AL$12*$N227))+(AK227/12*6*$F227*$G227*((1-$L227)+$L227*$H227*AL$13*$N227))</f>
        <v>0</v>
      </c>
      <c r="AM227" s="129">
        <v>0</v>
      </c>
      <c r="AN227" s="143">
        <f t="shared" ref="AN227:AN275" si="413">(AM227/12*2*$E227*$G227*((1-$L227)+$L227*$N227*$AN$11*H227))+(AM227/12*10*$F227*$G227*((1-$L227)+$L227*$N227*$AN$12*H227))</f>
        <v>0</v>
      </c>
      <c r="AO227" s="130"/>
      <c r="AP227" s="143">
        <f t="shared" ref="AP227:AP275" si="414">(AO227/12*2*$E227*$G227*((1-$L227)+$L227*$H227*AP$11*$N227))+(AO227/12*10*$F227*$G227*((1-$L227)+$L227*$H227*AP$11*$N227))</f>
        <v>0</v>
      </c>
      <c r="AQ227" s="143">
        <v>0</v>
      </c>
      <c r="AR227" s="143">
        <v>0</v>
      </c>
      <c r="AS227" s="123"/>
      <c r="AT227" s="123"/>
      <c r="AU227" s="123"/>
      <c r="AV227" s="123"/>
      <c r="AW227" s="123"/>
      <c r="AX227" s="143">
        <f t="shared" ref="AX227:AX275" si="415">(AW227/12*2*$E227*$G227*((1-$L227)+$L227*$H227*AX$11*$M227))+(AW227/12*10*$F227*$G227*((1-$L227)+$L227*$H227*AX$12*$M227))</f>
        <v>0</v>
      </c>
      <c r="AY227" s="123">
        <v>0</v>
      </c>
      <c r="AZ227" s="143">
        <f t="shared" ref="AZ227:AZ275" si="416">(AY227/12*2*$E227*$G227*((1-$L227)+$L227*$N227*$H227*$AZ$11))+(AY227/12*10*$F227*$G227*((1-$L227)+$L227*$N227*$H227*$AZ$11))</f>
        <v>0</v>
      </c>
      <c r="BA227" s="123"/>
      <c r="BB227" s="143">
        <f t="shared" ref="BB227:BB275" si="417">(BA227/12*2*$E227*$G227*((1-$L227)+$L227*$H227*BB$11*$N227))+(BA227/12*10*$F227*$G227*((1-$L227)+$L227*$H227*BB$12*$N227))</f>
        <v>0</v>
      </c>
      <c r="BC227" s="123"/>
      <c r="BD227" s="146">
        <f t="shared" si="271"/>
        <v>0</v>
      </c>
      <c r="BE227" s="123"/>
      <c r="BF227" s="143">
        <f t="shared" ref="BF227:BF275" si="418">(BE227/12*2*$E227*$G227*((1-$L227)+$L227*$H227*BF$11*$N227))+(BE227/12*10*$F227*$G227*((1-$L227)+$L227*$H227*BF$12*$N227))</f>
        <v>0</v>
      </c>
      <c r="BG227" s="123"/>
      <c r="BH227" s="143">
        <f t="shared" ref="BH227:BH275" si="419">(BG227/12*2*$E227*$G227*((1-$L227)+$L227*$H227*BH$11*$N227))+(BG227/12*10*$F227*$G227*((1-$L227)+$L227*$H227*BH$11*$N227))</f>
        <v>0</v>
      </c>
      <c r="BI227" s="123"/>
      <c r="BJ227" s="143">
        <f t="shared" ref="BJ227:BJ275" si="420">(BI227/12*2*$E227*$G227*((1-$L227)+$L227*$H227*BJ$11*$N227))+(BI227/12*10*$F227*$G227*((1-$L227)+$L227*$H227*BJ$11*$N227))</f>
        <v>0</v>
      </c>
      <c r="BK227" s="123"/>
      <c r="BL227" s="143">
        <f t="shared" ref="BL227:BL275" si="421">(BK227/12*2*$E227*$G227*((1-$L227)+$L227*$H227*BL$11*$N227))+(BK227/12*10*$F227*$G227*((1-$L227)+$L227*$H227*BL$11*$N227))</f>
        <v>0</v>
      </c>
      <c r="BM227" s="123"/>
      <c r="BN227" s="143">
        <f t="shared" ref="BN227:BN275" si="422">(BM227/12*2*$E227*$G227*((1-$L227)+$L227*$H227*BN$11*$M227))+(BM227/12*10*$F227*$G227*((1-$L227)+$L227*$H227*BN$11*$M227))</f>
        <v>0</v>
      </c>
      <c r="BO227" s="123"/>
      <c r="BP227" s="143">
        <f t="shared" ref="BP227:BP275" si="423">(BO227/12*2*$E227*$G227*((1-$L227)+$L227*$H227*BP$11*$M227))+(BO227/12*10*$F227*$G227*((1-$L227)+$L227*$H227*BP$12*$M227))</f>
        <v>0</v>
      </c>
      <c r="BQ227" s="123"/>
      <c r="BR227" s="123"/>
      <c r="BS227" s="123"/>
      <c r="BT227" s="143">
        <f t="shared" ref="BT227:BT275" si="424">(BS227/12*2*$E227*$G227*((1-$L227)+$L227*$H227*BT$11*$N227))+(BS227/12*10*$F227*$G227*((1-$L227)+$L227*$H227*BT$11*$N227))</f>
        <v>0</v>
      </c>
      <c r="BU227" s="123"/>
      <c r="BV227" s="123"/>
      <c r="BW227" s="123"/>
      <c r="BX227" s="143">
        <f t="shared" ref="BX227:BX275" si="425">(BW227/12*2*$E227*$G227*((1-$L227)+$L227*$H227*BX$11*$M227))+(BW227/12*10*$F227*$G227*((1-$L227)+$L227*$H227*BX$11*$M227))</f>
        <v>0</v>
      </c>
      <c r="BY227" s="123"/>
      <c r="BZ227" s="143">
        <f t="shared" ref="BZ227:BZ275" si="426">(BY227/12*2*$E227*$G227*((1-$L227)+$L227*$H227*BZ$11*$M227))+(BY227/12*10*$F227*$G227*((1-$L227)+$L227*$H227*BZ$11*$M227))</f>
        <v>0</v>
      </c>
      <c r="CA227" s="123"/>
      <c r="CB227" s="143">
        <f t="shared" ref="CB227:CB275" si="427">(CA227/12*2*$E227*$G227*((1-$L227)+$L227*$H227*CB$11*$M227))+(CA227/12*10*$F227*$G227*((1-$L227)+$L227*$H227*CB$11*$M227))</f>
        <v>0</v>
      </c>
      <c r="CC227" s="123"/>
      <c r="CD227" s="146">
        <f t="shared" ref="CD227:CD275" si="428">(CC227/12*2*$E227*$G227*((1-$L227)+$L227*$M227*$CD$11*$H227))+(CC227/12*10*$F227*$G227*((1-$L227)+$L227*$M227*$CD$11*$H227))</f>
        <v>0</v>
      </c>
      <c r="CE227" s="123"/>
      <c r="CF227" s="143">
        <f t="shared" ref="CF227:CF275" si="429">(CE227/12*10*$F227*$G227*((1-$L227)+$L227*$H227*CF$11*$N227))</f>
        <v>0</v>
      </c>
      <c r="CG227" s="132"/>
      <c r="CH227" s="143">
        <f t="shared" ref="CH227:CH275" si="430">(CG227/12*2*$E227*$G227*((1-$L227)+$L227*$H227*CH$11*$N227))+(CG227/12*10*$F227*$G227*((1-$L227)+$L227*$H227*CH$11*$N227))</f>
        <v>0</v>
      </c>
      <c r="CI227" s="123"/>
      <c r="CJ227" s="127"/>
      <c r="CK227" s="123"/>
      <c r="CL227" s="123"/>
      <c r="CM227" s="130"/>
      <c r="CN227" s="143">
        <f t="shared" ref="CN227:CN275" si="431">((CM227/12*2*$E227*$G227*((1-$L227)+$L227*$H227*CN$11*$N227)))+((CM227/12*10*$F227*$G227*((1-$L227)+$L227*$H227*CN$11*$N227)))</f>
        <v>0</v>
      </c>
      <c r="CO227" s="123"/>
      <c r="CP227" s="143">
        <f t="shared" ref="CP227:CP275" si="432">(CO227/12*2*$E227*$G227*((1-$L227)+$L227*$H227*CP$11*$N227))+(CO227/12*10*$F227*$G227*((1-$L227)+$L227*$H227*CP$11*$N227))</f>
        <v>0</v>
      </c>
      <c r="CQ227" s="123"/>
      <c r="CR227" s="143">
        <f t="shared" ref="CR227:CR275" si="433">(CQ227/12*2*$E227*$G227*((1-$L227)+$L227*$H227*CR$11*$O227))+(CQ227/12*10*$F227*$G227*((1-$L227)+$L227*$H227*CR$11*$O227))</f>
        <v>0</v>
      </c>
      <c r="CS227" s="123"/>
      <c r="CT227" s="143">
        <f t="shared" ref="CT227:CT275" si="434">(CS227/12*2*$E227*$G227*((1-$L227)+$L227*$H227*CT$11*$P227))+(CS227/12*10*$F227*$G227*((1-$L227)+$L227*$H227*CT$11*$P227))</f>
        <v>0</v>
      </c>
      <c r="CU227" s="127"/>
      <c r="CV227" s="127"/>
      <c r="CW227" s="126">
        <f t="shared" si="294"/>
        <v>2</v>
      </c>
      <c r="CX227" s="126">
        <f t="shared" si="294"/>
        <v>1639872.3439153596</v>
      </c>
    </row>
    <row r="228" spans="1:102" ht="60" x14ac:dyDescent="0.25">
      <c r="A228" s="91"/>
      <c r="B228" s="116">
        <v>196</v>
      </c>
      <c r="C228" s="202" t="s">
        <v>545</v>
      </c>
      <c r="D228" s="148" t="s">
        <v>546</v>
      </c>
      <c r="E228" s="95">
        <v>28004</v>
      </c>
      <c r="F228" s="96">
        <v>29405</v>
      </c>
      <c r="G228" s="149">
        <v>0.36</v>
      </c>
      <c r="H228" s="107">
        <v>1</v>
      </c>
      <c r="I228" s="108"/>
      <c r="J228" s="108"/>
      <c r="K228" s="108"/>
      <c r="L228" s="163">
        <v>0.58940000000000003</v>
      </c>
      <c r="M228" s="120">
        <v>1.4</v>
      </c>
      <c r="N228" s="120">
        <v>1.68</v>
      </c>
      <c r="O228" s="120">
        <v>2.23</v>
      </c>
      <c r="P228" s="121">
        <v>2.57</v>
      </c>
      <c r="Q228" s="122">
        <v>0</v>
      </c>
      <c r="R228" s="143">
        <f t="shared" si="404"/>
        <v>0</v>
      </c>
      <c r="S228" s="157"/>
      <c r="T228" s="144">
        <f>(S228/12*2*$E228*$G228*((1-$L228)+$L228*$M228*$R$11*$H228))+(S228/12*10*$F228*$G228*((1-$L228)+$L228*$M228*$R$11*$H228))</f>
        <v>0</v>
      </c>
      <c r="U228" s="143"/>
      <c r="V228" s="143">
        <f t="shared" si="405"/>
        <v>0</v>
      </c>
      <c r="W228" s="123"/>
      <c r="X228" s="143">
        <f t="shared" si="406"/>
        <v>0</v>
      </c>
      <c r="Y228" s="123">
        <v>258</v>
      </c>
      <c r="Z228" s="143">
        <f t="shared" si="407"/>
        <v>4111058.7158536799</v>
      </c>
      <c r="AA228" s="123"/>
      <c r="AB228" s="143">
        <f t="shared" si="408"/>
        <v>0</v>
      </c>
      <c r="AC228" s="123"/>
      <c r="AD228" s="123"/>
      <c r="AE228" s="123"/>
      <c r="AF228" s="143">
        <f t="shared" si="409"/>
        <v>0</v>
      </c>
      <c r="AG228" s="123">
        <v>0</v>
      </c>
      <c r="AH228" s="143">
        <f t="shared" si="410"/>
        <v>0</v>
      </c>
      <c r="AI228" s="123"/>
      <c r="AJ228" s="143">
        <f t="shared" si="411"/>
        <v>0</v>
      </c>
      <c r="AK228" s="123"/>
      <c r="AL228" s="143">
        <f t="shared" si="412"/>
        <v>0</v>
      </c>
      <c r="AM228" s="132">
        <v>602</v>
      </c>
      <c r="AN228" s="143">
        <f t="shared" si="413"/>
        <v>10991797.865332704</v>
      </c>
      <c r="AO228" s="130"/>
      <c r="AP228" s="143">
        <f t="shared" si="414"/>
        <v>0</v>
      </c>
      <c r="AQ228" s="143">
        <v>0</v>
      </c>
      <c r="AR228" s="143">
        <v>0</v>
      </c>
      <c r="AS228" s="123"/>
      <c r="AT228" s="123"/>
      <c r="AU228" s="123"/>
      <c r="AV228" s="123"/>
      <c r="AW228" s="123"/>
      <c r="AX228" s="143">
        <f t="shared" si="415"/>
        <v>0</v>
      </c>
      <c r="AY228" s="123">
        <v>0</v>
      </c>
      <c r="AZ228" s="143">
        <f t="shared" si="416"/>
        <v>0</v>
      </c>
      <c r="BA228" s="123"/>
      <c r="BB228" s="143">
        <f t="shared" si="417"/>
        <v>0</v>
      </c>
      <c r="BC228" s="123"/>
      <c r="BD228" s="146">
        <f t="shared" si="271"/>
        <v>0</v>
      </c>
      <c r="BE228" s="123"/>
      <c r="BF228" s="143">
        <f t="shared" si="418"/>
        <v>0</v>
      </c>
      <c r="BG228" s="123"/>
      <c r="BH228" s="143">
        <f t="shared" si="419"/>
        <v>0</v>
      </c>
      <c r="BI228" s="123"/>
      <c r="BJ228" s="143">
        <f t="shared" si="420"/>
        <v>0</v>
      </c>
      <c r="BK228" s="123"/>
      <c r="BL228" s="143">
        <f t="shared" si="421"/>
        <v>0</v>
      </c>
      <c r="BM228" s="123"/>
      <c r="BN228" s="143">
        <f t="shared" si="422"/>
        <v>0</v>
      </c>
      <c r="BO228" s="123"/>
      <c r="BP228" s="143">
        <f t="shared" si="423"/>
        <v>0</v>
      </c>
      <c r="BQ228" s="123"/>
      <c r="BR228" s="123"/>
      <c r="BS228" s="123"/>
      <c r="BT228" s="143">
        <f t="shared" si="424"/>
        <v>0</v>
      </c>
      <c r="BU228" s="123"/>
      <c r="BV228" s="123"/>
      <c r="BW228" s="123"/>
      <c r="BX228" s="143">
        <f t="shared" si="425"/>
        <v>0</v>
      </c>
      <c r="BY228" s="123"/>
      <c r="BZ228" s="143">
        <f t="shared" si="426"/>
        <v>0</v>
      </c>
      <c r="CA228" s="123"/>
      <c r="CB228" s="143">
        <f t="shared" si="427"/>
        <v>0</v>
      </c>
      <c r="CC228" s="123"/>
      <c r="CD228" s="146">
        <f t="shared" si="428"/>
        <v>0</v>
      </c>
      <c r="CE228" s="123"/>
      <c r="CF228" s="143">
        <f t="shared" si="429"/>
        <v>0</v>
      </c>
      <c r="CG228" s="132"/>
      <c r="CH228" s="143">
        <f t="shared" si="430"/>
        <v>0</v>
      </c>
      <c r="CI228" s="123"/>
      <c r="CJ228" s="127"/>
      <c r="CK228" s="123"/>
      <c r="CL228" s="123"/>
      <c r="CM228" s="130"/>
      <c r="CN228" s="143">
        <f t="shared" si="431"/>
        <v>0</v>
      </c>
      <c r="CO228" s="123"/>
      <c r="CP228" s="143">
        <f t="shared" si="432"/>
        <v>0</v>
      </c>
      <c r="CQ228" s="123"/>
      <c r="CR228" s="143">
        <f t="shared" si="433"/>
        <v>0</v>
      </c>
      <c r="CS228" s="123"/>
      <c r="CT228" s="143">
        <f t="shared" si="434"/>
        <v>0</v>
      </c>
      <c r="CU228" s="127"/>
      <c r="CV228" s="127"/>
      <c r="CW228" s="126">
        <f t="shared" si="294"/>
        <v>860</v>
      </c>
      <c r="CX228" s="126">
        <f t="shared" si="294"/>
        <v>15102856.581186384</v>
      </c>
    </row>
    <row r="229" spans="1:102" ht="60" x14ac:dyDescent="0.25">
      <c r="A229" s="91"/>
      <c r="B229" s="116">
        <v>197</v>
      </c>
      <c r="C229" s="202" t="s">
        <v>547</v>
      </c>
      <c r="D229" s="148" t="s">
        <v>548</v>
      </c>
      <c r="E229" s="95">
        <v>28004</v>
      </c>
      <c r="F229" s="96">
        <v>29405</v>
      </c>
      <c r="G229" s="149">
        <v>0.63</v>
      </c>
      <c r="H229" s="107">
        <v>1</v>
      </c>
      <c r="I229" s="108"/>
      <c r="J229" s="108"/>
      <c r="K229" s="108"/>
      <c r="L229" s="163">
        <v>0.44619999999999999</v>
      </c>
      <c r="M229" s="120">
        <v>1.4</v>
      </c>
      <c r="N229" s="120">
        <v>1.68</v>
      </c>
      <c r="O229" s="120">
        <v>2.23</v>
      </c>
      <c r="P229" s="121">
        <v>2.57</v>
      </c>
      <c r="Q229" s="122">
        <v>0</v>
      </c>
      <c r="R229" s="143">
        <f t="shared" si="404"/>
        <v>0</v>
      </c>
      <c r="S229" s="157"/>
      <c r="T229" s="144">
        <f>(S229/12*2*$E229*$G229*((1-$L229)+$L229*$M229*$R$11*$H229))+(S229/12*10*$F229*$G229*((1-$L229)+$L229*$M229*$R$11*$H229))</f>
        <v>0</v>
      </c>
      <c r="U229" s="143"/>
      <c r="V229" s="143">
        <f t="shared" si="405"/>
        <v>0</v>
      </c>
      <c r="W229" s="123"/>
      <c r="X229" s="143">
        <f t="shared" si="406"/>
        <v>0</v>
      </c>
      <c r="Y229" s="123">
        <f>474+154</f>
        <v>628</v>
      </c>
      <c r="Z229" s="143">
        <f t="shared" si="407"/>
        <v>16061267.701678919</v>
      </c>
      <c r="AA229" s="123"/>
      <c r="AB229" s="143">
        <f t="shared" si="408"/>
        <v>0</v>
      </c>
      <c r="AC229" s="123"/>
      <c r="AD229" s="123"/>
      <c r="AE229" s="123"/>
      <c r="AF229" s="143">
        <f t="shared" si="409"/>
        <v>0</v>
      </c>
      <c r="AG229" s="123">
        <v>0</v>
      </c>
      <c r="AH229" s="143">
        <f t="shared" si="410"/>
        <v>0</v>
      </c>
      <c r="AI229" s="123"/>
      <c r="AJ229" s="143">
        <f t="shared" si="411"/>
        <v>0</v>
      </c>
      <c r="AK229" s="123"/>
      <c r="AL229" s="143">
        <f t="shared" si="412"/>
        <v>0</v>
      </c>
      <c r="AM229" s="132">
        <f>233+104</f>
        <v>337</v>
      </c>
      <c r="AN229" s="143">
        <f t="shared" si="413"/>
        <v>9656656.8783005159</v>
      </c>
      <c r="AO229" s="130"/>
      <c r="AP229" s="143">
        <f t="shared" si="414"/>
        <v>0</v>
      </c>
      <c r="AQ229" s="143">
        <v>0</v>
      </c>
      <c r="AR229" s="143">
        <v>0</v>
      </c>
      <c r="AS229" s="123"/>
      <c r="AT229" s="123"/>
      <c r="AU229" s="123"/>
      <c r="AV229" s="123"/>
      <c r="AW229" s="123"/>
      <c r="AX229" s="143">
        <f t="shared" si="415"/>
        <v>0</v>
      </c>
      <c r="AY229" s="123">
        <v>0</v>
      </c>
      <c r="AZ229" s="143">
        <f t="shared" si="416"/>
        <v>0</v>
      </c>
      <c r="BA229" s="123"/>
      <c r="BB229" s="143">
        <f t="shared" si="417"/>
        <v>0</v>
      </c>
      <c r="BC229" s="123"/>
      <c r="BD229" s="146">
        <f t="shared" si="271"/>
        <v>0</v>
      </c>
      <c r="BE229" s="123"/>
      <c r="BF229" s="143">
        <f t="shared" si="418"/>
        <v>0</v>
      </c>
      <c r="BG229" s="123"/>
      <c r="BH229" s="143">
        <f t="shared" si="419"/>
        <v>0</v>
      </c>
      <c r="BI229" s="123"/>
      <c r="BJ229" s="143">
        <f t="shared" si="420"/>
        <v>0</v>
      </c>
      <c r="BK229" s="123"/>
      <c r="BL229" s="143">
        <f t="shared" si="421"/>
        <v>0</v>
      </c>
      <c r="BM229" s="123"/>
      <c r="BN229" s="143">
        <f t="shared" si="422"/>
        <v>0</v>
      </c>
      <c r="BO229" s="123"/>
      <c r="BP229" s="143">
        <f t="shared" si="423"/>
        <v>0</v>
      </c>
      <c r="BQ229" s="123"/>
      <c r="BR229" s="123"/>
      <c r="BS229" s="123"/>
      <c r="BT229" s="143">
        <f t="shared" si="424"/>
        <v>0</v>
      </c>
      <c r="BU229" s="123"/>
      <c r="BV229" s="123"/>
      <c r="BW229" s="123"/>
      <c r="BX229" s="143">
        <f t="shared" si="425"/>
        <v>0</v>
      </c>
      <c r="BY229" s="123"/>
      <c r="BZ229" s="143">
        <f t="shared" si="426"/>
        <v>0</v>
      </c>
      <c r="CA229" s="123"/>
      <c r="CB229" s="143">
        <f t="shared" si="427"/>
        <v>0</v>
      </c>
      <c r="CC229" s="123"/>
      <c r="CD229" s="146">
        <f t="shared" si="428"/>
        <v>0</v>
      </c>
      <c r="CE229" s="123"/>
      <c r="CF229" s="143">
        <f t="shared" si="429"/>
        <v>0</v>
      </c>
      <c r="CG229" s="132"/>
      <c r="CH229" s="143">
        <f t="shared" si="430"/>
        <v>0</v>
      </c>
      <c r="CI229" s="123"/>
      <c r="CJ229" s="127"/>
      <c r="CK229" s="123"/>
      <c r="CL229" s="123"/>
      <c r="CM229" s="130"/>
      <c r="CN229" s="143">
        <f t="shared" si="431"/>
        <v>0</v>
      </c>
      <c r="CO229" s="123"/>
      <c r="CP229" s="143">
        <f t="shared" si="432"/>
        <v>0</v>
      </c>
      <c r="CQ229" s="123"/>
      <c r="CR229" s="143">
        <f t="shared" si="433"/>
        <v>0</v>
      </c>
      <c r="CS229" s="123"/>
      <c r="CT229" s="143">
        <f t="shared" si="434"/>
        <v>0</v>
      </c>
      <c r="CU229" s="127"/>
      <c r="CV229" s="127"/>
      <c r="CW229" s="126">
        <f t="shared" si="294"/>
        <v>965</v>
      </c>
      <c r="CX229" s="126">
        <f t="shared" si="294"/>
        <v>25717924.579979435</v>
      </c>
    </row>
    <row r="230" spans="1:102" x14ac:dyDescent="0.25">
      <c r="A230" s="91"/>
      <c r="B230" s="116" t="s">
        <v>549</v>
      </c>
      <c r="C230" s="202" t="s">
        <v>550</v>
      </c>
      <c r="D230" s="278" t="s">
        <v>551</v>
      </c>
      <c r="E230" s="95"/>
      <c r="F230" s="96">
        <v>29405</v>
      </c>
      <c r="G230" s="149">
        <v>0.28000000000000003</v>
      </c>
      <c r="H230" s="107">
        <v>1</v>
      </c>
      <c r="I230" s="108"/>
      <c r="J230" s="108"/>
      <c r="K230" s="108"/>
      <c r="L230" s="163">
        <v>0.44619999999999999</v>
      </c>
      <c r="M230" s="120">
        <v>1.4</v>
      </c>
      <c r="N230" s="120">
        <v>1.68</v>
      </c>
      <c r="O230" s="120">
        <v>2.23</v>
      </c>
      <c r="P230" s="121">
        <v>2.57</v>
      </c>
      <c r="Q230" s="122"/>
      <c r="R230" s="143"/>
      <c r="S230" s="157"/>
      <c r="T230" s="144"/>
      <c r="U230" s="143"/>
      <c r="V230" s="143"/>
      <c r="W230" s="123"/>
      <c r="X230" s="143"/>
      <c r="Y230" s="279">
        <f>250+94</f>
        <v>344</v>
      </c>
      <c r="Z230" s="143">
        <f>Y230*$F230*$G230*((1-$L230)+$L230*$M230*$Z$12*$H230)</f>
        <v>3921657.2880262397</v>
      </c>
      <c r="AA230" s="123"/>
      <c r="AB230" s="143"/>
      <c r="AC230" s="123"/>
      <c r="AD230" s="123"/>
      <c r="AE230" s="123"/>
      <c r="AF230" s="143"/>
      <c r="AG230" s="123"/>
      <c r="AH230" s="143"/>
      <c r="AI230" s="123"/>
      <c r="AJ230" s="143">
        <f t="shared" si="411"/>
        <v>0</v>
      </c>
      <c r="AK230" s="123"/>
      <c r="AL230" s="143">
        <f t="shared" si="412"/>
        <v>0</v>
      </c>
      <c r="AM230" s="129">
        <f>171+16</f>
        <v>187</v>
      </c>
      <c r="AN230" s="143">
        <f>(AM230*$F230*$G230*((1-$L230)+$L230*$N230*$AN$12*H230))</f>
        <v>2387666.2016370241</v>
      </c>
      <c r="AO230" s="130"/>
      <c r="AP230" s="143"/>
      <c r="AQ230" s="143">
        <v>0</v>
      </c>
      <c r="AR230" s="143">
        <v>0</v>
      </c>
      <c r="AS230" s="123"/>
      <c r="AT230" s="123"/>
      <c r="AU230" s="123"/>
      <c r="AV230" s="123"/>
      <c r="AW230" s="123"/>
      <c r="AX230" s="143"/>
      <c r="AY230" s="123"/>
      <c r="AZ230" s="143"/>
      <c r="BA230" s="123"/>
      <c r="BB230" s="143"/>
      <c r="BC230" s="123"/>
      <c r="BD230" s="146"/>
      <c r="BE230" s="123"/>
      <c r="BF230" s="143"/>
      <c r="BG230" s="123"/>
      <c r="BH230" s="143"/>
      <c r="BI230" s="123"/>
      <c r="BJ230" s="143"/>
      <c r="BK230" s="123"/>
      <c r="BL230" s="143"/>
      <c r="BM230" s="123"/>
      <c r="BN230" s="143"/>
      <c r="BO230" s="123"/>
      <c r="BP230" s="143"/>
      <c r="BQ230" s="123"/>
      <c r="BR230" s="123"/>
      <c r="BS230" s="123"/>
      <c r="BT230" s="143"/>
      <c r="BU230" s="123"/>
      <c r="BV230" s="123"/>
      <c r="BW230" s="123"/>
      <c r="BX230" s="143"/>
      <c r="BY230" s="123"/>
      <c r="BZ230" s="143"/>
      <c r="CA230" s="123"/>
      <c r="CB230" s="143"/>
      <c r="CC230" s="123"/>
      <c r="CD230" s="146"/>
      <c r="CE230" s="123"/>
      <c r="CF230" s="143"/>
      <c r="CG230" s="132"/>
      <c r="CH230" s="143"/>
      <c r="CI230" s="123"/>
      <c r="CJ230" s="127"/>
      <c r="CK230" s="123"/>
      <c r="CL230" s="123"/>
      <c r="CM230" s="130"/>
      <c r="CN230" s="143"/>
      <c r="CO230" s="123"/>
      <c r="CP230" s="143"/>
      <c r="CQ230" s="123"/>
      <c r="CR230" s="143"/>
      <c r="CS230" s="123"/>
      <c r="CT230" s="143"/>
      <c r="CU230" s="127"/>
      <c r="CV230" s="127"/>
      <c r="CW230" s="126">
        <f t="shared" si="294"/>
        <v>531</v>
      </c>
      <c r="CX230" s="126">
        <f t="shared" si="294"/>
        <v>6309323.4896632638</v>
      </c>
    </row>
    <row r="231" spans="1:102" x14ac:dyDescent="0.25">
      <c r="A231" s="91"/>
      <c r="B231" s="116" t="s">
        <v>552</v>
      </c>
      <c r="C231" s="202" t="s">
        <v>553</v>
      </c>
      <c r="D231" s="278" t="s">
        <v>554</v>
      </c>
      <c r="E231" s="95"/>
      <c r="F231" s="96">
        <v>29405</v>
      </c>
      <c r="G231" s="149">
        <v>0.61</v>
      </c>
      <c r="H231" s="107">
        <v>1</v>
      </c>
      <c r="I231" s="108"/>
      <c r="J231" s="108"/>
      <c r="K231" s="108"/>
      <c r="L231" s="163">
        <v>0.44619999999999999</v>
      </c>
      <c r="M231" s="120">
        <v>1.4</v>
      </c>
      <c r="N231" s="120">
        <v>1.68</v>
      </c>
      <c r="O231" s="120">
        <v>2.23</v>
      </c>
      <c r="P231" s="121">
        <v>2.57</v>
      </c>
      <c r="Q231" s="122"/>
      <c r="R231" s="143"/>
      <c r="S231" s="157"/>
      <c r="T231" s="144"/>
      <c r="U231" s="143"/>
      <c r="V231" s="143"/>
      <c r="W231" s="123"/>
      <c r="X231" s="143"/>
      <c r="Y231" s="279">
        <f>243+340</f>
        <v>583</v>
      </c>
      <c r="Z231" s="143">
        <f t="shared" ref="Z231:Z232" si="435">Y231*$F231*$G231*((1-$L231)+$L231*$M231*$Z$12*$H231)</f>
        <v>14479432.94581366</v>
      </c>
      <c r="AA231" s="123"/>
      <c r="AB231" s="143"/>
      <c r="AC231" s="123"/>
      <c r="AD231" s="123"/>
      <c r="AE231" s="123"/>
      <c r="AF231" s="143"/>
      <c r="AG231" s="123"/>
      <c r="AH231" s="143"/>
      <c r="AI231" s="123"/>
      <c r="AJ231" s="143">
        <f t="shared" si="411"/>
        <v>0</v>
      </c>
      <c r="AK231" s="123"/>
      <c r="AL231" s="143">
        <f t="shared" si="412"/>
        <v>0</v>
      </c>
      <c r="AM231" s="129">
        <f>176+15</f>
        <v>191</v>
      </c>
      <c r="AN231" s="143">
        <f t="shared" ref="AN231:AN258" si="436">(AM231*$F231*$G231*((1-$L231)+$L231*$N231*$AN$12*H231))</f>
        <v>5312967.7072713841</v>
      </c>
      <c r="AO231" s="130"/>
      <c r="AP231" s="143"/>
      <c r="AQ231" s="143">
        <v>0</v>
      </c>
      <c r="AR231" s="143">
        <v>0</v>
      </c>
      <c r="AS231" s="123"/>
      <c r="AT231" s="123"/>
      <c r="AU231" s="123"/>
      <c r="AV231" s="123"/>
      <c r="AW231" s="123"/>
      <c r="AX231" s="143"/>
      <c r="AY231" s="123"/>
      <c r="AZ231" s="143"/>
      <c r="BA231" s="123"/>
      <c r="BB231" s="143"/>
      <c r="BC231" s="123"/>
      <c r="BD231" s="146"/>
      <c r="BE231" s="123"/>
      <c r="BF231" s="143"/>
      <c r="BG231" s="123"/>
      <c r="BH231" s="143"/>
      <c r="BI231" s="123"/>
      <c r="BJ231" s="143"/>
      <c r="BK231" s="123"/>
      <c r="BL231" s="143"/>
      <c r="BM231" s="123"/>
      <c r="BN231" s="143"/>
      <c r="BO231" s="123"/>
      <c r="BP231" s="143"/>
      <c r="BQ231" s="123"/>
      <c r="BR231" s="123"/>
      <c r="BS231" s="123"/>
      <c r="BT231" s="143"/>
      <c r="BU231" s="123"/>
      <c r="BV231" s="123"/>
      <c r="BW231" s="123"/>
      <c r="BX231" s="143"/>
      <c r="BY231" s="123"/>
      <c r="BZ231" s="143"/>
      <c r="CA231" s="123"/>
      <c r="CB231" s="143"/>
      <c r="CC231" s="123"/>
      <c r="CD231" s="146"/>
      <c r="CE231" s="123"/>
      <c r="CF231" s="143"/>
      <c r="CG231" s="132"/>
      <c r="CH231" s="143"/>
      <c r="CI231" s="123"/>
      <c r="CJ231" s="127"/>
      <c r="CK231" s="123"/>
      <c r="CL231" s="123"/>
      <c r="CM231" s="130"/>
      <c r="CN231" s="143"/>
      <c r="CO231" s="123"/>
      <c r="CP231" s="143"/>
      <c r="CQ231" s="123"/>
      <c r="CR231" s="143"/>
      <c r="CS231" s="123"/>
      <c r="CT231" s="143"/>
      <c r="CU231" s="127"/>
      <c r="CV231" s="127"/>
      <c r="CW231" s="126">
        <f t="shared" si="294"/>
        <v>774</v>
      </c>
      <c r="CX231" s="126">
        <f t="shared" si="294"/>
        <v>19792400.653085046</v>
      </c>
    </row>
    <row r="232" spans="1:102" x14ac:dyDescent="0.25">
      <c r="A232" s="91"/>
      <c r="B232" s="116" t="s">
        <v>555</v>
      </c>
      <c r="C232" s="202" t="s">
        <v>556</v>
      </c>
      <c r="D232" s="278" t="s">
        <v>557</v>
      </c>
      <c r="E232" s="95"/>
      <c r="F232" s="96">
        <v>29405</v>
      </c>
      <c r="G232" s="149">
        <v>1.07</v>
      </c>
      <c r="H232" s="107">
        <v>1</v>
      </c>
      <c r="I232" s="108"/>
      <c r="J232" s="108"/>
      <c r="K232" s="108"/>
      <c r="L232" s="163">
        <v>0.44619999999999999</v>
      </c>
      <c r="M232" s="120">
        <v>1.4</v>
      </c>
      <c r="N232" s="120">
        <v>1.68</v>
      </c>
      <c r="O232" s="120">
        <v>2.23</v>
      </c>
      <c r="P232" s="121">
        <v>2.57</v>
      </c>
      <c r="Q232" s="122"/>
      <c r="R232" s="143"/>
      <c r="S232" s="157"/>
      <c r="T232" s="144"/>
      <c r="U232" s="143"/>
      <c r="V232" s="143"/>
      <c r="W232" s="123"/>
      <c r="X232" s="143"/>
      <c r="Y232" s="279">
        <f>210+93</f>
        <v>303</v>
      </c>
      <c r="Z232" s="143">
        <f t="shared" si="435"/>
        <v>13200171.40106922</v>
      </c>
      <c r="AA232" s="123"/>
      <c r="AB232" s="143"/>
      <c r="AC232" s="123"/>
      <c r="AD232" s="123"/>
      <c r="AE232" s="123"/>
      <c r="AF232" s="143"/>
      <c r="AG232" s="123"/>
      <c r="AH232" s="143"/>
      <c r="AI232" s="123"/>
      <c r="AJ232" s="143">
        <f t="shared" si="411"/>
        <v>0</v>
      </c>
      <c r="AK232" s="123"/>
      <c r="AL232" s="143">
        <f t="shared" si="412"/>
        <v>0</v>
      </c>
      <c r="AM232" s="129">
        <f>144+14</f>
        <v>158</v>
      </c>
      <c r="AN232" s="143">
        <f t="shared" si="436"/>
        <v>7709298.0910763051</v>
      </c>
      <c r="AO232" s="130"/>
      <c r="AP232" s="143"/>
      <c r="AQ232" s="143">
        <v>0</v>
      </c>
      <c r="AR232" s="143">
        <v>0</v>
      </c>
      <c r="AS232" s="123"/>
      <c r="AT232" s="123"/>
      <c r="AU232" s="123"/>
      <c r="AV232" s="123"/>
      <c r="AW232" s="123"/>
      <c r="AX232" s="143"/>
      <c r="AY232" s="123"/>
      <c r="AZ232" s="143"/>
      <c r="BA232" s="123"/>
      <c r="BB232" s="143"/>
      <c r="BC232" s="123"/>
      <c r="BD232" s="146"/>
      <c r="BE232" s="123"/>
      <c r="BF232" s="143"/>
      <c r="BG232" s="123"/>
      <c r="BH232" s="143"/>
      <c r="BI232" s="123"/>
      <c r="BJ232" s="143"/>
      <c r="BK232" s="123"/>
      <c r="BL232" s="143"/>
      <c r="BM232" s="123"/>
      <c r="BN232" s="143"/>
      <c r="BO232" s="123"/>
      <c r="BP232" s="143"/>
      <c r="BQ232" s="123"/>
      <c r="BR232" s="123"/>
      <c r="BS232" s="123"/>
      <c r="BT232" s="143"/>
      <c r="BU232" s="123"/>
      <c r="BV232" s="123"/>
      <c r="BW232" s="123"/>
      <c r="BX232" s="143"/>
      <c r="BY232" s="123"/>
      <c r="BZ232" s="143"/>
      <c r="CA232" s="123"/>
      <c r="CB232" s="143"/>
      <c r="CC232" s="123"/>
      <c r="CD232" s="146"/>
      <c r="CE232" s="123"/>
      <c r="CF232" s="143"/>
      <c r="CG232" s="132"/>
      <c r="CH232" s="143"/>
      <c r="CI232" s="123"/>
      <c r="CJ232" s="127"/>
      <c r="CK232" s="123"/>
      <c r="CL232" s="123"/>
      <c r="CM232" s="130"/>
      <c r="CN232" s="143"/>
      <c r="CO232" s="123"/>
      <c r="CP232" s="143"/>
      <c r="CQ232" s="123"/>
      <c r="CR232" s="143"/>
      <c r="CS232" s="123"/>
      <c r="CT232" s="143"/>
      <c r="CU232" s="127"/>
      <c r="CV232" s="127"/>
      <c r="CW232" s="126">
        <f t="shared" ref="CW232:CX275" si="437">SUM(Q232,S232,U232,W232,Y232,AA232,AC232,AE232,AG232,AM232,BQ232,AI232,AU232,CC232,AW232,AY232,AK232,BC232,AO232,AQ232,BE232,CE232,BG232,BI232,BK232,BS232,BM232,BO232,BU232,BW232,BY232,CA232,CG232,BA232,AS232,CI232,CK232,CM232,CO232,CQ232,CS232,CU232)</f>
        <v>461</v>
      </c>
      <c r="CX232" s="126">
        <f t="shared" si="437"/>
        <v>20909469.492145523</v>
      </c>
    </row>
    <row r="233" spans="1:102" ht="60" x14ac:dyDescent="0.25">
      <c r="A233" s="91"/>
      <c r="B233" s="116">
        <v>198</v>
      </c>
      <c r="C233" s="202" t="s">
        <v>558</v>
      </c>
      <c r="D233" s="148" t="s">
        <v>559</v>
      </c>
      <c r="E233" s="95">
        <v>28004</v>
      </c>
      <c r="F233" s="96">
        <v>29405</v>
      </c>
      <c r="G233" s="149">
        <v>0.89</v>
      </c>
      <c r="H233" s="107">
        <v>1</v>
      </c>
      <c r="I233" s="108"/>
      <c r="J233" s="108"/>
      <c r="K233" s="108"/>
      <c r="L233" s="163">
        <v>0.39950000000000002</v>
      </c>
      <c r="M233" s="120">
        <v>1.4</v>
      </c>
      <c r="N233" s="120">
        <v>1.68</v>
      </c>
      <c r="O233" s="120">
        <v>2.23</v>
      </c>
      <c r="P233" s="121">
        <v>2.57</v>
      </c>
      <c r="Q233" s="122">
        <v>0</v>
      </c>
      <c r="R233" s="143">
        <f t="shared" si="404"/>
        <v>0</v>
      </c>
      <c r="S233" s="157"/>
      <c r="T233" s="144">
        <f>(S233/12*2*$E233*$G233*((1-$L233)+$L233*$M233*$R$11*$H233))+(S233/12*10*$F233*$G233*((1-$L233)+$L233*$M233*$R$11*$H233))</f>
        <v>0</v>
      </c>
      <c r="U233" s="143"/>
      <c r="V233" s="143">
        <f t="shared" si="405"/>
        <v>0</v>
      </c>
      <c r="W233" s="123"/>
      <c r="X233" s="143">
        <f t="shared" si="406"/>
        <v>0</v>
      </c>
      <c r="Y233" s="123">
        <f>108+46</f>
        <v>154</v>
      </c>
      <c r="Z233" s="143">
        <f t="shared" si="407"/>
        <v>5400162.7734272173</v>
      </c>
      <c r="AA233" s="123"/>
      <c r="AB233" s="143">
        <f t="shared" si="408"/>
        <v>0</v>
      </c>
      <c r="AC233" s="123"/>
      <c r="AD233" s="123"/>
      <c r="AE233" s="123"/>
      <c r="AF233" s="143">
        <f t="shared" si="409"/>
        <v>0</v>
      </c>
      <c r="AG233" s="123">
        <v>0</v>
      </c>
      <c r="AH233" s="143">
        <f t="shared" si="410"/>
        <v>0</v>
      </c>
      <c r="AI233" s="123"/>
      <c r="AJ233" s="143">
        <f t="shared" si="411"/>
        <v>0</v>
      </c>
      <c r="AK233" s="123"/>
      <c r="AL233" s="143">
        <f t="shared" si="412"/>
        <v>0</v>
      </c>
      <c r="AM233" s="129">
        <f>67+14</f>
        <v>81</v>
      </c>
      <c r="AN233" s="143">
        <f t="shared" si="413"/>
        <v>3155847.3162819901</v>
      </c>
      <c r="AO233" s="130"/>
      <c r="AP233" s="143">
        <f t="shared" si="414"/>
        <v>0</v>
      </c>
      <c r="AQ233" s="143">
        <v>0</v>
      </c>
      <c r="AR233" s="143">
        <v>0</v>
      </c>
      <c r="AS233" s="123"/>
      <c r="AT233" s="123"/>
      <c r="AU233" s="123"/>
      <c r="AV233" s="123"/>
      <c r="AW233" s="123"/>
      <c r="AX233" s="143">
        <f t="shared" si="415"/>
        <v>0</v>
      </c>
      <c r="AY233" s="123">
        <v>0</v>
      </c>
      <c r="AZ233" s="143">
        <f t="shared" si="416"/>
        <v>0</v>
      </c>
      <c r="BA233" s="123"/>
      <c r="BB233" s="143">
        <f t="shared" si="417"/>
        <v>0</v>
      </c>
      <c r="BC233" s="123"/>
      <c r="BD233" s="146">
        <f t="shared" ref="BD233:BD275" si="438">(BC233/12*2*$E233*$G233*$H233*$N233*$BD$11)+(BC233/12*10*$F233*$G233*$H233*$N233*$BD$12)</f>
        <v>0</v>
      </c>
      <c r="BE233" s="123"/>
      <c r="BF233" s="143">
        <f t="shared" si="418"/>
        <v>0</v>
      </c>
      <c r="BG233" s="123"/>
      <c r="BH233" s="143">
        <f t="shared" si="419"/>
        <v>0</v>
      </c>
      <c r="BI233" s="123"/>
      <c r="BJ233" s="143">
        <f t="shared" si="420"/>
        <v>0</v>
      </c>
      <c r="BK233" s="123"/>
      <c r="BL233" s="143">
        <f t="shared" si="421"/>
        <v>0</v>
      </c>
      <c r="BM233" s="123"/>
      <c r="BN233" s="143">
        <f t="shared" si="422"/>
        <v>0</v>
      </c>
      <c r="BO233" s="123"/>
      <c r="BP233" s="143">
        <f t="shared" si="423"/>
        <v>0</v>
      </c>
      <c r="BQ233" s="123"/>
      <c r="BR233" s="123"/>
      <c r="BS233" s="123"/>
      <c r="BT233" s="143">
        <f t="shared" si="424"/>
        <v>0</v>
      </c>
      <c r="BU233" s="123"/>
      <c r="BV233" s="123"/>
      <c r="BW233" s="123"/>
      <c r="BX233" s="143">
        <f t="shared" si="425"/>
        <v>0</v>
      </c>
      <c r="BY233" s="123"/>
      <c r="BZ233" s="143">
        <f t="shared" si="426"/>
        <v>0</v>
      </c>
      <c r="CA233" s="123"/>
      <c r="CB233" s="143">
        <f t="shared" si="427"/>
        <v>0</v>
      </c>
      <c r="CC233" s="123"/>
      <c r="CD233" s="146">
        <f t="shared" si="428"/>
        <v>0</v>
      </c>
      <c r="CE233" s="123"/>
      <c r="CF233" s="143">
        <f t="shared" si="429"/>
        <v>0</v>
      </c>
      <c r="CG233" s="132"/>
      <c r="CH233" s="143">
        <f t="shared" si="430"/>
        <v>0</v>
      </c>
      <c r="CI233" s="123"/>
      <c r="CJ233" s="127"/>
      <c r="CK233" s="123"/>
      <c r="CL233" s="123"/>
      <c r="CM233" s="130"/>
      <c r="CN233" s="143">
        <f t="shared" si="431"/>
        <v>0</v>
      </c>
      <c r="CO233" s="123"/>
      <c r="CP233" s="143">
        <f t="shared" si="432"/>
        <v>0</v>
      </c>
      <c r="CQ233" s="123"/>
      <c r="CR233" s="143">
        <f t="shared" si="433"/>
        <v>0</v>
      </c>
      <c r="CS233" s="123"/>
      <c r="CT233" s="143">
        <f t="shared" si="434"/>
        <v>0</v>
      </c>
      <c r="CU233" s="127"/>
      <c r="CV233" s="127"/>
      <c r="CW233" s="126">
        <f t="shared" si="437"/>
        <v>235</v>
      </c>
      <c r="CX233" s="126">
        <f t="shared" si="437"/>
        <v>8556010.0897092074</v>
      </c>
    </row>
    <row r="234" spans="1:102" x14ac:dyDescent="0.25">
      <c r="A234" s="91"/>
      <c r="B234" s="116" t="s">
        <v>560</v>
      </c>
      <c r="C234" s="202" t="s">
        <v>561</v>
      </c>
      <c r="D234" s="278" t="s">
        <v>562</v>
      </c>
      <c r="E234" s="95"/>
      <c r="F234" s="96">
        <v>29405</v>
      </c>
      <c r="G234" s="280">
        <v>0.44</v>
      </c>
      <c r="H234" s="107">
        <v>1</v>
      </c>
      <c r="I234" s="108"/>
      <c r="J234" s="108"/>
      <c r="K234" s="108"/>
      <c r="L234" s="163">
        <v>0.39950000000000002</v>
      </c>
      <c r="M234" s="213">
        <v>1.4</v>
      </c>
      <c r="N234" s="213">
        <v>1.68</v>
      </c>
      <c r="O234" s="213">
        <v>2.23</v>
      </c>
      <c r="P234" s="214">
        <v>2.57</v>
      </c>
      <c r="Q234" s="122"/>
      <c r="R234" s="143"/>
      <c r="S234" s="157"/>
      <c r="T234" s="144"/>
      <c r="U234" s="143"/>
      <c r="V234" s="143"/>
      <c r="W234" s="123"/>
      <c r="X234" s="143"/>
      <c r="Y234" s="100">
        <v>104</v>
      </c>
      <c r="Z234" s="143">
        <f>Y234*$F234*$G234*((1-$L234)+$L234*$M234*$Z$12*$H234)</f>
        <v>1808946.3595632003</v>
      </c>
      <c r="AA234" s="123"/>
      <c r="AB234" s="143"/>
      <c r="AC234" s="123"/>
      <c r="AD234" s="123"/>
      <c r="AE234" s="123"/>
      <c r="AF234" s="143"/>
      <c r="AG234" s="123"/>
      <c r="AH234" s="143"/>
      <c r="AI234" s="123"/>
      <c r="AJ234" s="143">
        <f t="shared" si="411"/>
        <v>0</v>
      </c>
      <c r="AK234" s="123"/>
      <c r="AL234" s="143">
        <f t="shared" si="412"/>
        <v>0</v>
      </c>
      <c r="AM234" s="129">
        <f>65-29</f>
        <v>36</v>
      </c>
      <c r="AN234" s="143">
        <f t="shared" si="436"/>
        <v>695468.88629856007</v>
      </c>
      <c r="AO234" s="130"/>
      <c r="AP234" s="143"/>
      <c r="AQ234" s="143">
        <v>0</v>
      </c>
      <c r="AR234" s="143">
        <v>0</v>
      </c>
      <c r="AS234" s="123"/>
      <c r="AT234" s="123"/>
      <c r="AU234" s="123"/>
      <c r="AV234" s="123"/>
      <c r="AW234" s="123"/>
      <c r="AX234" s="143"/>
      <c r="AY234" s="123"/>
      <c r="AZ234" s="143"/>
      <c r="BA234" s="123"/>
      <c r="BB234" s="143"/>
      <c r="BC234" s="123"/>
      <c r="BD234" s="146"/>
      <c r="BE234" s="123"/>
      <c r="BF234" s="143"/>
      <c r="BG234" s="123"/>
      <c r="BH234" s="143"/>
      <c r="BI234" s="123"/>
      <c r="BJ234" s="143"/>
      <c r="BK234" s="123"/>
      <c r="BL234" s="143"/>
      <c r="BM234" s="123"/>
      <c r="BN234" s="143"/>
      <c r="BO234" s="123"/>
      <c r="BP234" s="143"/>
      <c r="BQ234" s="123"/>
      <c r="BR234" s="123"/>
      <c r="BS234" s="123"/>
      <c r="BT234" s="143"/>
      <c r="BU234" s="123"/>
      <c r="BV234" s="123"/>
      <c r="BW234" s="123"/>
      <c r="BX234" s="143"/>
      <c r="BY234" s="123"/>
      <c r="BZ234" s="143"/>
      <c r="CA234" s="123"/>
      <c r="CB234" s="143"/>
      <c r="CC234" s="123"/>
      <c r="CD234" s="146"/>
      <c r="CE234" s="123"/>
      <c r="CF234" s="143"/>
      <c r="CG234" s="132"/>
      <c r="CH234" s="143"/>
      <c r="CI234" s="123"/>
      <c r="CJ234" s="127"/>
      <c r="CK234" s="123"/>
      <c r="CL234" s="123"/>
      <c r="CM234" s="130"/>
      <c r="CN234" s="143"/>
      <c r="CO234" s="123"/>
      <c r="CP234" s="143"/>
      <c r="CQ234" s="123"/>
      <c r="CR234" s="143"/>
      <c r="CS234" s="123"/>
      <c r="CT234" s="143"/>
      <c r="CU234" s="127"/>
      <c r="CV234" s="127"/>
      <c r="CW234" s="126">
        <f t="shared" si="437"/>
        <v>140</v>
      </c>
      <c r="CX234" s="126">
        <f t="shared" si="437"/>
        <v>2504415.2458617603</v>
      </c>
    </row>
    <row r="235" spans="1:102" x14ac:dyDescent="0.25">
      <c r="A235" s="91"/>
      <c r="B235" s="116" t="s">
        <v>563</v>
      </c>
      <c r="C235" s="202" t="s">
        <v>564</v>
      </c>
      <c r="D235" s="278" t="s">
        <v>565</v>
      </c>
      <c r="E235" s="95"/>
      <c r="F235" s="96">
        <v>29405</v>
      </c>
      <c r="G235" s="280">
        <v>0.8</v>
      </c>
      <c r="H235" s="107">
        <v>1</v>
      </c>
      <c r="I235" s="108"/>
      <c r="J235" s="108"/>
      <c r="K235" s="108"/>
      <c r="L235" s="163">
        <v>0.39950000000000002</v>
      </c>
      <c r="M235" s="213">
        <v>1.4</v>
      </c>
      <c r="N235" s="213">
        <v>1.68</v>
      </c>
      <c r="O235" s="213">
        <v>2.23</v>
      </c>
      <c r="P235" s="214">
        <v>2.57</v>
      </c>
      <c r="Q235" s="122"/>
      <c r="R235" s="143"/>
      <c r="S235" s="157"/>
      <c r="T235" s="144"/>
      <c r="U235" s="143"/>
      <c r="V235" s="143"/>
      <c r="W235" s="123"/>
      <c r="X235" s="143"/>
      <c r="Y235" s="100">
        <f>118+16</f>
        <v>134</v>
      </c>
      <c r="Z235" s="143">
        <f t="shared" ref="Z235:Z258" si="439">Y235*$F235*$G235*((1-$L235)+$L235*$M235*$Z$12*$H235)</f>
        <v>4237741.4717040006</v>
      </c>
      <c r="AA235" s="123"/>
      <c r="AB235" s="143"/>
      <c r="AC235" s="123"/>
      <c r="AD235" s="123"/>
      <c r="AE235" s="123"/>
      <c r="AF235" s="143"/>
      <c r="AG235" s="123"/>
      <c r="AH235" s="143"/>
      <c r="AI235" s="123"/>
      <c r="AJ235" s="143">
        <f t="shared" si="411"/>
        <v>0</v>
      </c>
      <c r="AK235" s="123"/>
      <c r="AL235" s="143">
        <f t="shared" si="412"/>
        <v>0</v>
      </c>
      <c r="AM235" s="129">
        <f>107-29</f>
        <v>78</v>
      </c>
      <c r="AN235" s="143">
        <f t="shared" si="436"/>
        <v>2739725.9157216004</v>
      </c>
      <c r="AO235" s="130"/>
      <c r="AP235" s="143"/>
      <c r="AQ235" s="143">
        <v>0</v>
      </c>
      <c r="AR235" s="143">
        <v>0</v>
      </c>
      <c r="AS235" s="123"/>
      <c r="AT235" s="123"/>
      <c r="AU235" s="123"/>
      <c r="AV235" s="123"/>
      <c r="AW235" s="123"/>
      <c r="AX235" s="143"/>
      <c r="AY235" s="123"/>
      <c r="AZ235" s="143"/>
      <c r="BA235" s="123"/>
      <c r="BB235" s="143"/>
      <c r="BC235" s="123"/>
      <c r="BD235" s="146"/>
      <c r="BE235" s="123"/>
      <c r="BF235" s="143"/>
      <c r="BG235" s="123"/>
      <c r="BH235" s="143"/>
      <c r="BI235" s="123"/>
      <c r="BJ235" s="143"/>
      <c r="BK235" s="123"/>
      <c r="BL235" s="143"/>
      <c r="BM235" s="123"/>
      <c r="BN235" s="143"/>
      <c r="BO235" s="123"/>
      <c r="BP235" s="143"/>
      <c r="BQ235" s="123"/>
      <c r="BR235" s="123"/>
      <c r="BS235" s="123"/>
      <c r="BT235" s="143"/>
      <c r="BU235" s="123"/>
      <c r="BV235" s="123"/>
      <c r="BW235" s="123"/>
      <c r="BX235" s="143"/>
      <c r="BY235" s="123"/>
      <c r="BZ235" s="143"/>
      <c r="CA235" s="123"/>
      <c r="CB235" s="143"/>
      <c r="CC235" s="123"/>
      <c r="CD235" s="146"/>
      <c r="CE235" s="123"/>
      <c r="CF235" s="143"/>
      <c r="CG235" s="132"/>
      <c r="CH235" s="143"/>
      <c r="CI235" s="123"/>
      <c r="CJ235" s="127"/>
      <c r="CK235" s="123"/>
      <c r="CL235" s="123"/>
      <c r="CM235" s="130"/>
      <c r="CN235" s="143"/>
      <c r="CO235" s="123"/>
      <c r="CP235" s="143"/>
      <c r="CQ235" s="123"/>
      <c r="CR235" s="143"/>
      <c r="CS235" s="123"/>
      <c r="CT235" s="143"/>
      <c r="CU235" s="127"/>
      <c r="CV235" s="127"/>
      <c r="CW235" s="126">
        <f t="shared" si="437"/>
        <v>212</v>
      </c>
      <c r="CX235" s="126">
        <f t="shared" si="437"/>
        <v>6977467.3874256015</v>
      </c>
    </row>
    <row r="236" spans="1:102" x14ac:dyDescent="0.25">
      <c r="A236" s="91"/>
      <c r="B236" s="116" t="s">
        <v>566</v>
      </c>
      <c r="C236" s="202" t="s">
        <v>567</v>
      </c>
      <c r="D236" s="278" t="s">
        <v>568</v>
      </c>
      <c r="E236" s="95"/>
      <c r="F236" s="96">
        <v>29405</v>
      </c>
      <c r="G236" s="280">
        <v>1.55</v>
      </c>
      <c r="H236" s="107">
        <v>1</v>
      </c>
      <c r="I236" s="108"/>
      <c r="J236" s="108"/>
      <c r="K236" s="108"/>
      <c r="L236" s="163">
        <v>0.39950000000000002</v>
      </c>
      <c r="M236" s="213">
        <v>1.4</v>
      </c>
      <c r="N236" s="213">
        <v>1.68</v>
      </c>
      <c r="O236" s="213">
        <v>2.23</v>
      </c>
      <c r="P236" s="214">
        <v>2.57</v>
      </c>
      <c r="Q236" s="122"/>
      <c r="R236" s="143"/>
      <c r="S236" s="157"/>
      <c r="T236" s="144"/>
      <c r="U236" s="143"/>
      <c r="V236" s="143"/>
      <c r="W236" s="123"/>
      <c r="X236" s="143"/>
      <c r="Y236" s="100">
        <f>87+2</f>
        <v>89</v>
      </c>
      <c r="Z236" s="143">
        <f t="shared" si="439"/>
        <v>5453324.9628877509</v>
      </c>
      <c r="AA236" s="123"/>
      <c r="AB236" s="143"/>
      <c r="AC236" s="123"/>
      <c r="AD236" s="123"/>
      <c r="AE236" s="123"/>
      <c r="AF236" s="143"/>
      <c r="AG236" s="123"/>
      <c r="AH236" s="143"/>
      <c r="AI236" s="123"/>
      <c r="AJ236" s="143">
        <f t="shared" si="411"/>
        <v>0</v>
      </c>
      <c r="AK236" s="123"/>
      <c r="AL236" s="143">
        <f t="shared" si="412"/>
        <v>0</v>
      </c>
      <c r="AM236" s="129">
        <f>59-24</f>
        <v>35</v>
      </c>
      <c r="AN236" s="143">
        <f t="shared" si="436"/>
        <v>2381893.1238445002</v>
      </c>
      <c r="AO236" s="130"/>
      <c r="AP236" s="143"/>
      <c r="AQ236" s="143">
        <v>0</v>
      </c>
      <c r="AR236" s="143">
        <v>0</v>
      </c>
      <c r="AS236" s="123"/>
      <c r="AT236" s="123"/>
      <c r="AU236" s="123"/>
      <c r="AV236" s="123"/>
      <c r="AW236" s="123"/>
      <c r="AX236" s="143"/>
      <c r="AY236" s="123"/>
      <c r="AZ236" s="143"/>
      <c r="BA236" s="123"/>
      <c r="BB236" s="143"/>
      <c r="BC236" s="123"/>
      <c r="BD236" s="146"/>
      <c r="BE236" s="123"/>
      <c r="BF236" s="143"/>
      <c r="BG236" s="123"/>
      <c r="BH236" s="143"/>
      <c r="BI236" s="123"/>
      <c r="BJ236" s="143"/>
      <c r="BK236" s="123"/>
      <c r="BL236" s="143"/>
      <c r="BM236" s="123"/>
      <c r="BN236" s="143"/>
      <c r="BO236" s="123"/>
      <c r="BP236" s="143"/>
      <c r="BQ236" s="123"/>
      <c r="BR236" s="123"/>
      <c r="BS236" s="123"/>
      <c r="BT236" s="143"/>
      <c r="BU236" s="123"/>
      <c r="BV236" s="123"/>
      <c r="BW236" s="123"/>
      <c r="BX236" s="143"/>
      <c r="BY236" s="123"/>
      <c r="BZ236" s="143"/>
      <c r="CA236" s="123"/>
      <c r="CB236" s="143"/>
      <c r="CC236" s="123"/>
      <c r="CD236" s="146"/>
      <c r="CE236" s="123"/>
      <c r="CF236" s="143"/>
      <c r="CG236" s="132"/>
      <c r="CH236" s="143"/>
      <c r="CI236" s="123"/>
      <c r="CJ236" s="127"/>
      <c r="CK236" s="123"/>
      <c r="CL236" s="123"/>
      <c r="CM236" s="130"/>
      <c r="CN236" s="143"/>
      <c r="CO236" s="123"/>
      <c r="CP236" s="143"/>
      <c r="CQ236" s="123"/>
      <c r="CR236" s="143"/>
      <c r="CS236" s="123"/>
      <c r="CT236" s="143"/>
      <c r="CU236" s="127"/>
      <c r="CV236" s="127"/>
      <c r="CW236" s="126">
        <f t="shared" si="437"/>
        <v>124</v>
      </c>
      <c r="CX236" s="126">
        <f t="shared" si="437"/>
        <v>7835218.0867322516</v>
      </c>
    </row>
    <row r="237" spans="1:102" ht="60" x14ac:dyDescent="0.25">
      <c r="A237" s="91"/>
      <c r="B237" s="116">
        <v>199</v>
      </c>
      <c r="C237" s="202" t="s">
        <v>569</v>
      </c>
      <c r="D237" s="148" t="s">
        <v>570</v>
      </c>
      <c r="E237" s="95">
        <v>28004</v>
      </c>
      <c r="F237" s="96">
        <v>29405</v>
      </c>
      <c r="G237" s="149">
        <v>1.26</v>
      </c>
      <c r="H237" s="107">
        <v>1</v>
      </c>
      <c r="I237" s="108"/>
      <c r="J237" s="108"/>
      <c r="K237" s="108"/>
      <c r="L237" s="163">
        <v>0.20780000000000001</v>
      </c>
      <c r="M237" s="120">
        <v>1.4</v>
      </c>
      <c r="N237" s="120">
        <v>1.68</v>
      </c>
      <c r="O237" s="120">
        <v>2.23</v>
      </c>
      <c r="P237" s="121">
        <v>2.57</v>
      </c>
      <c r="Q237" s="122">
        <v>0</v>
      </c>
      <c r="R237" s="143">
        <f t="shared" si="404"/>
        <v>0</v>
      </c>
      <c r="S237" s="157"/>
      <c r="T237" s="144">
        <f>(S237/12*2*$E237*$G237*((1-$L237)+$L237*$M237*$R$11*$H237))+(S237/12*10*$F237*$G237*((1-$L237)+$L237*$M237*$R$11*$H237))</f>
        <v>0</v>
      </c>
      <c r="U237" s="143"/>
      <c r="V237" s="143">
        <f t="shared" si="405"/>
        <v>0</v>
      </c>
      <c r="W237" s="123"/>
      <c r="X237" s="143">
        <f t="shared" si="406"/>
        <v>0</v>
      </c>
      <c r="Y237" s="123">
        <f>31+19</f>
        <v>50</v>
      </c>
      <c r="Z237" s="143">
        <f t="shared" si="407"/>
        <v>2172986.6470410004</v>
      </c>
      <c r="AA237" s="123"/>
      <c r="AB237" s="143">
        <f t="shared" si="408"/>
        <v>0</v>
      </c>
      <c r="AC237" s="123"/>
      <c r="AD237" s="123"/>
      <c r="AE237" s="123"/>
      <c r="AF237" s="143">
        <f t="shared" si="409"/>
        <v>0</v>
      </c>
      <c r="AG237" s="123">
        <v>0</v>
      </c>
      <c r="AH237" s="143">
        <f t="shared" si="410"/>
        <v>0</v>
      </c>
      <c r="AI237" s="123"/>
      <c r="AJ237" s="143">
        <f t="shared" si="411"/>
        <v>0</v>
      </c>
      <c r="AK237" s="123"/>
      <c r="AL237" s="143">
        <f t="shared" si="412"/>
        <v>0</v>
      </c>
      <c r="AM237" s="132">
        <f>35+24</f>
        <v>59</v>
      </c>
      <c r="AN237" s="143">
        <f t="shared" si="413"/>
        <v>2733354.6331336563</v>
      </c>
      <c r="AO237" s="130"/>
      <c r="AP237" s="143">
        <f t="shared" si="414"/>
        <v>0</v>
      </c>
      <c r="AQ237" s="143">
        <v>0</v>
      </c>
      <c r="AR237" s="143">
        <v>0</v>
      </c>
      <c r="AS237" s="123"/>
      <c r="AT237" s="123"/>
      <c r="AU237" s="123"/>
      <c r="AV237" s="123"/>
      <c r="AW237" s="123"/>
      <c r="AX237" s="143">
        <f t="shared" si="415"/>
        <v>0</v>
      </c>
      <c r="AY237" s="123">
        <v>0</v>
      </c>
      <c r="AZ237" s="143">
        <f t="shared" si="416"/>
        <v>0</v>
      </c>
      <c r="BA237" s="123"/>
      <c r="BB237" s="143">
        <f t="shared" si="417"/>
        <v>0</v>
      </c>
      <c r="BC237" s="123"/>
      <c r="BD237" s="146">
        <f t="shared" si="438"/>
        <v>0</v>
      </c>
      <c r="BE237" s="123"/>
      <c r="BF237" s="143">
        <f t="shared" si="418"/>
        <v>0</v>
      </c>
      <c r="BG237" s="123"/>
      <c r="BH237" s="143">
        <f t="shared" si="419"/>
        <v>0</v>
      </c>
      <c r="BI237" s="123"/>
      <c r="BJ237" s="143">
        <f t="shared" si="420"/>
        <v>0</v>
      </c>
      <c r="BK237" s="123"/>
      <c r="BL237" s="143">
        <f t="shared" si="421"/>
        <v>0</v>
      </c>
      <c r="BM237" s="123"/>
      <c r="BN237" s="143">
        <f t="shared" si="422"/>
        <v>0</v>
      </c>
      <c r="BO237" s="123"/>
      <c r="BP237" s="143">
        <f t="shared" si="423"/>
        <v>0</v>
      </c>
      <c r="BQ237" s="123"/>
      <c r="BR237" s="123"/>
      <c r="BS237" s="123"/>
      <c r="BT237" s="143">
        <f t="shared" si="424"/>
        <v>0</v>
      </c>
      <c r="BU237" s="123"/>
      <c r="BV237" s="123"/>
      <c r="BW237" s="123"/>
      <c r="BX237" s="143">
        <f t="shared" si="425"/>
        <v>0</v>
      </c>
      <c r="BY237" s="123"/>
      <c r="BZ237" s="143">
        <f t="shared" si="426"/>
        <v>0</v>
      </c>
      <c r="CA237" s="123"/>
      <c r="CB237" s="143">
        <f t="shared" si="427"/>
        <v>0</v>
      </c>
      <c r="CC237" s="123"/>
      <c r="CD237" s="146">
        <f t="shared" si="428"/>
        <v>0</v>
      </c>
      <c r="CE237" s="123"/>
      <c r="CF237" s="143">
        <f t="shared" si="429"/>
        <v>0</v>
      </c>
      <c r="CG237" s="132"/>
      <c r="CH237" s="143">
        <f t="shared" si="430"/>
        <v>0</v>
      </c>
      <c r="CI237" s="123"/>
      <c r="CJ237" s="127"/>
      <c r="CK237" s="123"/>
      <c r="CL237" s="123"/>
      <c r="CM237" s="130"/>
      <c r="CN237" s="143">
        <f t="shared" si="431"/>
        <v>0</v>
      </c>
      <c r="CO237" s="123"/>
      <c r="CP237" s="143">
        <f t="shared" si="432"/>
        <v>0</v>
      </c>
      <c r="CQ237" s="123"/>
      <c r="CR237" s="143">
        <f t="shared" si="433"/>
        <v>0</v>
      </c>
      <c r="CS237" s="123"/>
      <c r="CT237" s="143">
        <f t="shared" si="434"/>
        <v>0</v>
      </c>
      <c r="CU237" s="127"/>
      <c r="CV237" s="127"/>
      <c r="CW237" s="126">
        <f t="shared" si="437"/>
        <v>109</v>
      </c>
      <c r="CX237" s="126">
        <f t="shared" si="437"/>
        <v>4906341.2801746568</v>
      </c>
    </row>
    <row r="238" spans="1:102" x14ac:dyDescent="0.25">
      <c r="A238" s="91"/>
      <c r="B238" s="116" t="s">
        <v>571</v>
      </c>
      <c r="C238" s="202" t="s">
        <v>572</v>
      </c>
      <c r="D238" s="278" t="s">
        <v>573</v>
      </c>
      <c r="E238" s="95"/>
      <c r="F238" s="96">
        <v>29405</v>
      </c>
      <c r="G238" s="280">
        <v>0.59</v>
      </c>
      <c r="H238" s="107">
        <v>1</v>
      </c>
      <c r="I238" s="108"/>
      <c r="J238" s="108"/>
      <c r="K238" s="108"/>
      <c r="L238" s="163">
        <v>0.20780000000000001</v>
      </c>
      <c r="M238" s="213">
        <v>1.4</v>
      </c>
      <c r="N238" s="213">
        <v>1.68</v>
      </c>
      <c r="O238" s="213">
        <v>2.23</v>
      </c>
      <c r="P238" s="214">
        <v>2.57</v>
      </c>
      <c r="Q238" s="122"/>
      <c r="R238" s="143"/>
      <c r="S238" s="157"/>
      <c r="T238" s="144"/>
      <c r="U238" s="143"/>
      <c r="V238" s="143"/>
      <c r="W238" s="123"/>
      <c r="X238" s="143"/>
      <c r="Y238" s="100">
        <f>78-50</f>
        <v>28</v>
      </c>
      <c r="Z238" s="143">
        <f t="shared" si="439"/>
        <v>572783.57864615996</v>
      </c>
      <c r="AA238" s="123"/>
      <c r="AB238" s="143"/>
      <c r="AC238" s="123"/>
      <c r="AD238" s="123"/>
      <c r="AE238" s="123"/>
      <c r="AF238" s="143"/>
      <c r="AG238" s="123"/>
      <c r="AH238" s="143"/>
      <c r="AI238" s="123"/>
      <c r="AJ238" s="143">
        <f t="shared" si="411"/>
        <v>0</v>
      </c>
      <c r="AK238" s="123"/>
      <c r="AL238" s="143">
        <f t="shared" si="412"/>
        <v>0</v>
      </c>
      <c r="AM238" s="281">
        <f>26+11</f>
        <v>37</v>
      </c>
      <c r="AN238" s="143">
        <f t="shared" si="436"/>
        <v>806566.70067576808</v>
      </c>
      <c r="AO238" s="130"/>
      <c r="AP238" s="143"/>
      <c r="AQ238" s="143">
        <v>0</v>
      </c>
      <c r="AR238" s="143">
        <v>0</v>
      </c>
      <c r="AS238" s="123"/>
      <c r="AT238" s="123"/>
      <c r="AU238" s="123"/>
      <c r="AV238" s="123"/>
      <c r="AW238" s="123"/>
      <c r="AX238" s="143"/>
      <c r="AY238" s="123"/>
      <c r="AZ238" s="143"/>
      <c r="BA238" s="123"/>
      <c r="BB238" s="143"/>
      <c r="BC238" s="123"/>
      <c r="BD238" s="146"/>
      <c r="BE238" s="123"/>
      <c r="BF238" s="143"/>
      <c r="BG238" s="123"/>
      <c r="BH238" s="143"/>
      <c r="BI238" s="123"/>
      <c r="BJ238" s="143"/>
      <c r="BK238" s="123"/>
      <c r="BL238" s="143"/>
      <c r="BM238" s="123"/>
      <c r="BN238" s="143"/>
      <c r="BO238" s="123"/>
      <c r="BP238" s="143"/>
      <c r="BQ238" s="123"/>
      <c r="BR238" s="123"/>
      <c r="BS238" s="123"/>
      <c r="BT238" s="143"/>
      <c r="BU238" s="123"/>
      <c r="BV238" s="123"/>
      <c r="BW238" s="123"/>
      <c r="BX238" s="143"/>
      <c r="BY238" s="123"/>
      <c r="BZ238" s="143"/>
      <c r="CA238" s="123"/>
      <c r="CB238" s="143"/>
      <c r="CC238" s="123"/>
      <c r="CD238" s="146"/>
      <c r="CE238" s="123"/>
      <c r="CF238" s="143"/>
      <c r="CG238" s="132"/>
      <c r="CH238" s="143"/>
      <c r="CI238" s="123"/>
      <c r="CJ238" s="127"/>
      <c r="CK238" s="123"/>
      <c r="CL238" s="123"/>
      <c r="CM238" s="130"/>
      <c r="CN238" s="143"/>
      <c r="CO238" s="123"/>
      <c r="CP238" s="143"/>
      <c r="CQ238" s="123"/>
      <c r="CR238" s="143"/>
      <c r="CS238" s="123"/>
      <c r="CT238" s="143"/>
      <c r="CU238" s="127"/>
      <c r="CV238" s="127"/>
      <c r="CW238" s="126">
        <f t="shared" si="437"/>
        <v>65</v>
      </c>
      <c r="CX238" s="126">
        <f t="shared" si="437"/>
        <v>1379350.279321928</v>
      </c>
    </row>
    <row r="239" spans="1:102" x14ac:dyDescent="0.25">
      <c r="A239" s="91"/>
      <c r="B239" s="116" t="s">
        <v>574</v>
      </c>
      <c r="C239" s="202" t="s">
        <v>575</v>
      </c>
      <c r="D239" s="278" t="s">
        <v>576</v>
      </c>
      <c r="E239" s="95"/>
      <c r="F239" s="96">
        <v>29405</v>
      </c>
      <c r="G239" s="280">
        <v>1.0900000000000001</v>
      </c>
      <c r="H239" s="107">
        <v>1</v>
      </c>
      <c r="I239" s="108"/>
      <c r="J239" s="108"/>
      <c r="K239" s="108"/>
      <c r="L239" s="163">
        <v>0.20780000000000001</v>
      </c>
      <c r="M239" s="213">
        <v>1.4</v>
      </c>
      <c r="N239" s="213">
        <v>1.68</v>
      </c>
      <c r="O239" s="213">
        <v>2.23</v>
      </c>
      <c r="P239" s="214">
        <v>2.57</v>
      </c>
      <c r="Q239" s="122"/>
      <c r="R239" s="143"/>
      <c r="S239" s="157"/>
      <c r="T239" s="144"/>
      <c r="U239" s="143"/>
      <c r="V239" s="143"/>
      <c r="W239" s="123"/>
      <c r="X239" s="143"/>
      <c r="Y239" s="100">
        <f>67-5</f>
        <v>62</v>
      </c>
      <c r="Z239" s="143">
        <f t="shared" si="439"/>
        <v>2343142.5087716402</v>
      </c>
      <c r="AA239" s="123"/>
      <c r="AB239" s="143"/>
      <c r="AC239" s="123"/>
      <c r="AD239" s="123"/>
      <c r="AE239" s="123"/>
      <c r="AF239" s="143"/>
      <c r="AG239" s="123"/>
      <c r="AH239" s="143"/>
      <c r="AI239" s="123"/>
      <c r="AJ239" s="143">
        <f t="shared" si="411"/>
        <v>0</v>
      </c>
      <c r="AK239" s="123"/>
      <c r="AL239" s="143">
        <f t="shared" si="412"/>
        <v>0</v>
      </c>
      <c r="AM239" s="281">
        <f>26+18</f>
        <v>44</v>
      </c>
      <c r="AN239" s="143">
        <f t="shared" si="436"/>
        <v>1772008.1980948162</v>
      </c>
      <c r="AO239" s="130"/>
      <c r="AP239" s="143"/>
      <c r="AQ239" s="143">
        <v>0</v>
      </c>
      <c r="AR239" s="143">
        <v>0</v>
      </c>
      <c r="AS239" s="123"/>
      <c r="AT239" s="123"/>
      <c r="AU239" s="123"/>
      <c r="AV239" s="123"/>
      <c r="AW239" s="123"/>
      <c r="AX239" s="143"/>
      <c r="AY239" s="123"/>
      <c r="AZ239" s="143"/>
      <c r="BA239" s="123"/>
      <c r="BB239" s="143"/>
      <c r="BC239" s="123"/>
      <c r="BD239" s="146"/>
      <c r="BE239" s="123"/>
      <c r="BF239" s="143"/>
      <c r="BG239" s="123"/>
      <c r="BH239" s="143"/>
      <c r="BI239" s="123"/>
      <c r="BJ239" s="143"/>
      <c r="BK239" s="123"/>
      <c r="BL239" s="143"/>
      <c r="BM239" s="123"/>
      <c r="BN239" s="143"/>
      <c r="BO239" s="123"/>
      <c r="BP239" s="143"/>
      <c r="BQ239" s="123"/>
      <c r="BR239" s="123"/>
      <c r="BS239" s="123"/>
      <c r="BT239" s="143"/>
      <c r="BU239" s="123"/>
      <c r="BV239" s="123"/>
      <c r="BW239" s="123"/>
      <c r="BX239" s="143"/>
      <c r="BY239" s="123"/>
      <c r="BZ239" s="143"/>
      <c r="CA239" s="123"/>
      <c r="CB239" s="143"/>
      <c r="CC239" s="123"/>
      <c r="CD239" s="146"/>
      <c r="CE239" s="123"/>
      <c r="CF239" s="143"/>
      <c r="CG239" s="132"/>
      <c r="CH239" s="143"/>
      <c r="CI239" s="123"/>
      <c r="CJ239" s="127"/>
      <c r="CK239" s="123"/>
      <c r="CL239" s="123"/>
      <c r="CM239" s="130"/>
      <c r="CN239" s="143"/>
      <c r="CO239" s="123"/>
      <c r="CP239" s="143"/>
      <c r="CQ239" s="123"/>
      <c r="CR239" s="143"/>
      <c r="CS239" s="123"/>
      <c r="CT239" s="143"/>
      <c r="CU239" s="127"/>
      <c r="CV239" s="127"/>
      <c r="CW239" s="126">
        <f t="shared" si="437"/>
        <v>106</v>
      </c>
      <c r="CX239" s="126">
        <f t="shared" si="437"/>
        <v>4115150.7068664562</v>
      </c>
    </row>
    <row r="240" spans="1:102" x14ac:dyDescent="0.25">
      <c r="A240" s="91"/>
      <c r="B240" s="116" t="s">
        <v>577</v>
      </c>
      <c r="C240" s="202" t="s">
        <v>578</v>
      </c>
      <c r="D240" s="278" t="s">
        <v>579</v>
      </c>
      <c r="E240" s="95"/>
      <c r="F240" s="96">
        <v>29405</v>
      </c>
      <c r="G240" s="280">
        <v>2.17</v>
      </c>
      <c r="H240" s="107">
        <v>1</v>
      </c>
      <c r="I240" s="108"/>
      <c r="J240" s="108"/>
      <c r="K240" s="108"/>
      <c r="L240" s="163">
        <v>0.20780000000000001</v>
      </c>
      <c r="M240" s="213">
        <v>1.4</v>
      </c>
      <c r="N240" s="213">
        <v>1.68</v>
      </c>
      <c r="O240" s="213">
        <v>2.23</v>
      </c>
      <c r="P240" s="214">
        <v>2.57</v>
      </c>
      <c r="Q240" s="122"/>
      <c r="R240" s="143"/>
      <c r="S240" s="157"/>
      <c r="T240" s="144"/>
      <c r="U240" s="143"/>
      <c r="V240" s="143"/>
      <c r="W240" s="123"/>
      <c r="X240" s="143"/>
      <c r="Y240" s="100">
        <f>70-38</f>
        <v>32</v>
      </c>
      <c r="Z240" s="143">
        <f t="shared" si="439"/>
        <v>2407632.6695635202</v>
      </c>
      <c r="AA240" s="123"/>
      <c r="AB240" s="143"/>
      <c r="AC240" s="123"/>
      <c r="AD240" s="123"/>
      <c r="AE240" s="123"/>
      <c r="AF240" s="143"/>
      <c r="AG240" s="123"/>
      <c r="AH240" s="143"/>
      <c r="AI240" s="123"/>
      <c r="AJ240" s="143">
        <f t="shared" si="411"/>
        <v>0</v>
      </c>
      <c r="AK240" s="123"/>
      <c r="AL240" s="143">
        <f t="shared" si="412"/>
        <v>0</v>
      </c>
      <c r="AM240" s="281">
        <f>24+11</f>
        <v>35</v>
      </c>
      <c r="AN240" s="143">
        <f t="shared" si="436"/>
        <v>2806172.2820121199</v>
      </c>
      <c r="AO240" s="130"/>
      <c r="AP240" s="143"/>
      <c r="AQ240" s="143">
        <v>0</v>
      </c>
      <c r="AR240" s="143">
        <v>0</v>
      </c>
      <c r="AS240" s="123"/>
      <c r="AT240" s="123"/>
      <c r="AU240" s="123"/>
      <c r="AV240" s="123"/>
      <c r="AW240" s="123"/>
      <c r="AX240" s="143"/>
      <c r="AY240" s="123"/>
      <c r="AZ240" s="143"/>
      <c r="BA240" s="123"/>
      <c r="BB240" s="143"/>
      <c r="BC240" s="123"/>
      <c r="BD240" s="146"/>
      <c r="BE240" s="123"/>
      <c r="BF240" s="143"/>
      <c r="BG240" s="123"/>
      <c r="BH240" s="143"/>
      <c r="BI240" s="123"/>
      <c r="BJ240" s="143"/>
      <c r="BK240" s="123"/>
      <c r="BL240" s="143"/>
      <c r="BM240" s="123"/>
      <c r="BN240" s="143"/>
      <c r="BO240" s="123"/>
      <c r="BP240" s="143"/>
      <c r="BQ240" s="123"/>
      <c r="BR240" s="123"/>
      <c r="BS240" s="123"/>
      <c r="BT240" s="143"/>
      <c r="BU240" s="123"/>
      <c r="BV240" s="123"/>
      <c r="BW240" s="123"/>
      <c r="BX240" s="143"/>
      <c r="BY240" s="123"/>
      <c r="BZ240" s="143"/>
      <c r="CA240" s="123"/>
      <c r="CB240" s="143"/>
      <c r="CC240" s="123"/>
      <c r="CD240" s="146"/>
      <c r="CE240" s="123"/>
      <c r="CF240" s="143"/>
      <c r="CG240" s="132"/>
      <c r="CH240" s="143"/>
      <c r="CI240" s="123"/>
      <c r="CJ240" s="127"/>
      <c r="CK240" s="123"/>
      <c r="CL240" s="123"/>
      <c r="CM240" s="130"/>
      <c r="CN240" s="143"/>
      <c r="CO240" s="123"/>
      <c r="CP240" s="143"/>
      <c r="CQ240" s="123"/>
      <c r="CR240" s="143"/>
      <c r="CS240" s="123"/>
      <c r="CT240" s="143"/>
      <c r="CU240" s="127"/>
      <c r="CV240" s="127"/>
      <c r="CW240" s="126">
        <f t="shared" si="437"/>
        <v>67</v>
      </c>
      <c r="CX240" s="126">
        <f t="shared" si="437"/>
        <v>5213804.9515756406</v>
      </c>
    </row>
    <row r="241" spans="1:102" ht="60" x14ac:dyDescent="0.25">
      <c r="A241" s="91"/>
      <c r="B241" s="116">
        <v>200</v>
      </c>
      <c r="C241" s="202" t="s">
        <v>580</v>
      </c>
      <c r="D241" s="148" t="s">
        <v>581</v>
      </c>
      <c r="E241" s="95">
        <v>28004</v>
      </c>
      <c r="F241" s="96">
        <v>29405</v>
      </c>
      <c r="G241" s="149">
        <v>1.68</v>
      </c>
      <c r="H241" s="107">
        <v>1</v>
      </c>
      <c r="I241" s="108"/>
      <c r="J241" s="108"/>
      <c r="K241" s="108"/>
      <c r="L241" s="163">
        <v>0.29770000000000002</v>
      </c>
      <c r="M241" s="120">
        <v>1.4</v>
      </c>
      <c r="N241" s="120">
        <v>1.68</v>
      </c>
      <c r="O241" s="120">
        <v>2.23</v>
      </c>
      <c r="P241" s="121">
        <v>2.57</v>
      </c>
      <c r="Q241" s="122">
        <v>0</v>
      </c>
      <c r="R241" s="143">
        <f t="shared" si="404"/>
        <v>0</v>
      </c>
      <c r="S241" s="157"/>
      <c r="T241" s="144">
        <f>(S241/12*2*$E241*$G241*((1-$L241)+$L241*$M241*$R$11*$H241))+(S241/12*10*$F241*$G241*((1-$L241)+$L241*$M241*$R$11*$H241))</f>
        <v>0</v>
      </c>
      <c r="U241" s="143"/>
      <c r="V241" s="143">
        <f t="shared" si="405"/>
        <v>0</v>
      </c>
      <c r="W241" s="123"/>
      <c r="X241" s="143">
        <f t="shared" si="406"/>
        <v>0</v>
      </c>
      <c r="Y241" s="123">
        <f>214+67</f>
        <v>281</v>
      </c>
      <c r="Z241" s="143">
        <f t="shared" si="407"/>
        <v>17369514.222268037</v>
      </c>
      <c r="AA241" s="123"/>
      <c r="AB241" s="143">
        <f t="shared" si="408"/>
        <v>0</v>
      </c>
      <c r="AC241" s="123"/>
      <c r="AD241" s="123"/>
      <c r="AE241" s="123"/>
      <c r="AF241" s="143">
        <f t="shared" si="409"/>
        <v>0</v>
      </c>
      <c r="AG241" s="123">
        <v>0</v>
      </c>
      <c r="AH241" s="143">
        <f t="shared" si="410"/>
        <v>0</v>
      </c>
      <c r="AI241" s="123"/>
      <c r="AJ241" s="143">
        <f t="shared" si="411"/>
        <v>0</v>
      </c>
      <c r="AK241" s="123"/>
      <c r="AL241" s="143">
        <f t="shared" si="412"/>
        <v>0</v>
      </c>
      <c r="AM241" s="132">
        <f>62+41</f>
        <v>103</v>
      </c>
      <c r="AN241" s="143">
        <f t="shared" si="413"/>
        <v>6931094.6339574242</v>
      </c>
      <c r="AO241" s="130"/>
      <c r="AP241" s="143">
        <f t="shared" si="414"/>
        <v>0</v>
      </c>
      <c r="AQ241" s="143">
        <v>0</v>
      </c>
      <c r="AR241" s="143">
        <v>0</v>
      </c>
      <c r="AS241" s="123"/>
      <c r="AT241" s="123"/>
      <c r="AU241" s="123"/>
      <c r="AV241" s="123"/>
      <c r="AW241" s="123"/>
      <c r="AX241" s="143">
        <f t="shared" si="415"/>
        <v>0</v>
      </c>
      <c r="AY241" s="123">
        <v>0</v>
      </c>
      <c r="AZ241" s="143">
        <f t="shared" si="416"/>
        <v>0</v>
      </c>
      <c r="BA241" s="123"/>
      <c r="BB241" s="143">
        <f t="shared" si="417"/>
        <v>0</v>
      </c>
      <c r="BC241" s="123"/>
      <c r="BD241" s="146">
        <f t="shared" si="438"/>
        <v>0</v>
      </c>
      <c r="BE241" s="123"/>
      <c r="BF241" s="143">
        <f t="shared" si="418"/>
        <v>0</v>
      </c>
      <c r="BG241" s="123"/>
      <c r="BH241" s="143">
        <f t="shared" si="419"/>
        <v>0</v>
      </c>
      <c r="BI241" s="123"/>
      <c r="BJ241" s="143">
        <f t="shared" si="420"/>
        <v>0</v>
      </c>
      <c r="BK241" s="123"/>
      <c r="BL241" s="143">
        <f t="shared" si="421"/>
        <v>0</v>
      </c>
      <c r="BM241" s="123"/>
      <c r="BN241" s="143">
        <f t="shared" si="422"/>
        <v>0</v>
      </c>
      <c r="BO241" s="123"/>
      <c r="BP241" s="143">
        <f t="shared" si="423"/>
        <v>0</v>
      </c>
      <c r="BQ241" s="123"/>
      <c r="BR241" s="123"/>
      <c r="BS241" s="123"/>
      <c r="BT241" s="143">
        <f t="shared" si="424"/>
        <v>0</v>
      </c>
      <c r="BU241" s="123"/>
      <c r="BV241" s="123"/>
      <c r="BW241" s="123"/>
      <c r="BX241" s="143">
        <f t="shared" si="425"/>
        <v>0</v>
      </c>
      <c r="BY241" s="123"/>
      <c r="BZ241" s="143">
        <f t="shared" si="426"/>
        <v>0</v>
      </c>
      <c r="CA241" s="123"/>
      <c r="CB241" s="143">
        <f t="shared" si="427"/>
        <v>0</v>
      </c>
      <c r="CC241" s="123"/>
      <c r="CD241" s="146">
        <f t="shared" si="428"/>
        <v>0</v>
      </c>
      <c r="CE241" s="123"/>
      <c r="CF241" s="143">
        <f t="shared" si="429"/>
        <v>0</v>
      </c>
      <c r="CG241" s="132"/>
      <c r="CH241" s="143">
        <f t="shared" si="430"/>
        <v>0</v>
      </c>
      <c r="CI241" s="123"/>
      <c r="CJ241" s="127"/>
      <c r="CK241" s="123"/>
      <c r="CL241" s="123"/>
      <c r="CM241" s="130"/>
      <c r="CN241" s="143">
        <f t="shared" si="431"/>
        <v>0</v>
      </c>
      <c r="CO241" s="123"/>
      <c r="CP241" s="143">
        <f t="shared" si="432"/>
        <v>0</v>
      </c>
      <c r="CQ241" s="123"/>
      <c r="CR241" s="143">
        <f t="shared" si="433"/>
        <v>0</v>
      </c>
      <c r="CS241" s="123"/>
      <c r="CT241" s="143">
        <f t="shared" si="434"/>
        <v>0</v>
      </c>
      <c r="CU241" s="127"/>
      <c r="CV241" s="127"/>
      <c r="CW241" s="126">
        <f t="shared" si="437"/>
        <v>384</v>
      </c>
      <c r="CX241" s="126">
        <f t="shared" si="437"/>
        <v>24300608.856225461</v>
      </c>
    </row>
    <row r="242" spans="1:102" x14ac:dyDescent="0.25">
      <c r="A242" s="91"/>
      <c r="B242" s="116" t="s">
        <v>582</v>
      </c>
      <c r="C242" s="202" t="s">
        <v>583</v>
      </c>
      <c r="D242" s="278" t="s">
        <v>584</v>
      </c>
      <c r="E242" s="95"/>
      <c r="F242" s="96">
        <v>29405</v>
      </c>
      <c r="G242" s="280">
        <v>1.2</v>
      </c>
      <c r="H242" s="107">
        <v>1</v>
      </c>
      <c r="I242" s="108"/>
      <c r="J242" s="108"/>
      <c r="K242" s="108"/>
      <c r="L242" s="163">
        <v>0.29770000000000002</v>
      </c>
      <c r="M242" s="213">
        <v>1.4</v>
      </c>
      <c r="N242" s="213">
        <v>1.68</v>
      </c>
      <c r="O242" s="213">
        <v>2.23</v>
      </c>
      <c r="P242" s="214">
        <v>2.57</v>
      </c>
      <c r="Q242" s="122"/>
      <c r="R242" s="143"/>
      <c r="S242" s="157"/>
      <c r="T242" s="144"/>
      <c r="U242" s="143"/>
      <c r="V242" s="143"/>
      <c r="W242" s="123"/>
      <c r="X242" s="143"/>
      <c r="Y242" s="123">
        <f>175-50</f>
        <v>125</v>
      </c>
      <c r="Z242" s="143">
        <f t="shared" si="439"/>
        <v>5542625.1970499996</v>
      </c>
      <c r="AA242" s="123"/>
      <c r="AB242" s="143"/>
      <c r="AC242" s="123"/>
      <c r="AD242" s="123"/>
      <c r="AE242" s="123"/>
      <c r="AF242" s="143"/>
      <c r="AG242" s="123"/>
      <c r="AH242" s="143"/>
      <c r="AI242" s="123"/>
      <c r="AJ242" s="143">
        <f t="shared" si="411"/>
        <v>0</v>
      </c>
      <c r="AK242" s="123"/>
      <c r="AL242" s="143">
        <f t="shared" si="412"/>
        <v>0</v>
      </c>
      <c r="AM242" s="132">
        <f>70-3</f>
        <v>67</v>
      </c>
      <c r="AN242" s="143">
        <f t="shared" si="436"/>
        <v>3232946.33222256</v>
      </c>
      <c r="AO242" s="130"/>
      <c r="AP242" s="143"/>
      <c r="AQ242" s="143">
        <v>0</v>
      </c>
      <c r="AR242" s="143">
        <v>0</v>
      </c>
      <c r="AS242" s="123"/>
      <c r="AT242" s="123"/>
      <c r="AU242" s="123"/>
      <c r="AV242" s="123"/>
      <c r="AW242" s="123"/>
      <c r="AX242" s="143"/>
      <c r="AY242" s="123"/>
      <c r="AZ242" s="143"/>
      <c r="BA242" s="123"/>
      <c r="BB242" s="143"/>
      <c r="BC242" s="123"/>
      <c r="BD242" s="146"/>
      <c r="BE242" s="123"/>
      <c r="BF242" s="143"/>
      <c r="BG242" s="123"/>
      <c r="BH242" s="143"/>
      <c r="BI242" s="123"/>
      <c r="BJ242" s="143"/>
      <c r="BK242" s="123"/>
      <c r="BL242" s="143"/>
      <c r="BM242" s="123"/>
      <c r="BN242" s="143"/>
      <c r="BO242" s="123"/>
      <c r="BP242" s="143"/>
      <c r="BQ242" s="123"/>
      <c r="BR242" s="123"/>
      <c r="BS242" s="123"/>
      <c r="BT242" s="143"/>
      <c r="BU242" s="123"/>
      <c r="BV242" s="123"/>
      <c r="BW242" s="123"/>
      <c r="BX242" s="143"/>
      <c r="BY242" s="123"/>
      <c r="BZ242" s="143"/>
      <c r="CA242" s="123"/>
      <c r="CB242" s="143"/>
      <c r="CC242" s="123"/>
      <c r="CD242" s="146"/>
      <c r="CE242" s="123"/>
      <c r="CF242" s="143"/>
      <c r="CG242" s="132"/>
      <c r="CH242" s="143"/>
      <c r="CI242" s="123"/>
      <c r="CJ242" s="127"/>
      <c r="CK242" s="123"/>
      <c r="CL242" s="123"/>
      <c r="CM242" s="130"/>
      <c r="CN242" s="143"/>
      <c r="CO242" s="123"/>
      <c r="CP242" s="143"/>
      <c r="CQ242" s="123"/>
      <c r="CR242" s="143"/>
      <c r="CS242" s="123"/>
      <c r="CT242" s="143"/>
      <c r="CU242" s="127"/>
      <c r="CV242" s="127"/>
      <c r="CW242" s="126">
        <f t="shared" si="437"/>
        <v>192</v>
      </c>
      <c r="CX242" s="126">
        <f t="shared" si="437"/>
        <v>8775571.52927256</v>
      </c>
    </row>
    <row r="243" spans="1:102" x14ac:dyDescent="0.25">
      <c r="A243" s="91"/>
      <c r="B243" s="116" t="s">
        <v>585</v>
      </c>
      <c r="C243" s="202" t="s">
        <v>586</v>
      </c>
      <c r="D243" s="278" t="s">
        <v>587</v>
      </c>
      <c r="E243" s="95"/>
      <c r="F243" s="96">
        <v>29405</v>
      </c>
      <c r="G243" s="280">
        <v>1.7</v>
      </c>
      <c r="H243" s="107">
        <v>1</v>
      </c>
      <c r="I243" s="108"/>
      <c r="J243" s="108"/>
      <c r="K243" s="108"/>
      <c r="L243" s="163">
        <v>0.29770000000000002</v>
      </c>
      <c r="M243" s="213">
        <v>1.4</v>
      </c>
      <c r="N243" s="213">
        <v>1.68</v>
      </c>
      <c r="O243" s="213">
        <v>2.23</v>
      </c>
      <c r="P243" s="214">
        <v>2.57</v>
      </c>
      <c r="Q243" s="122"/>
      <c r="R243" s="143"/>
      <c r="S243" s="157"/>
      <c r="T243" s="144"/>
      <c r="U243" s="143"/>
      <c r="V243" s="143"/>
      <c r="W243" s="123"/>
      <c r="X243" s="143"/>
      <c r="Y243" s="123">
        <f>207+136</f>
        <v>343</v>
      </c>
      <c r="Z243" s="143">
        <f t="shared" si="439"/>
        <v>21546031.682665698</v>
      </c>
      <c r="AA243" s="123"/>
      <c r="AB243" s="143"/>
      <c r="AC243" s="123"/>
      <c r="AD243" s="123"/>
      <c r="AE243" s="123"/>
      <c r="AF243" s="143"/>
      <c r="AG243" s="123"/>
      <c r="AH243" s="143"/>
      <c r="AI243" s="123"/>
      <c r="AJ243" s="143">
        <f t="shared" si="411"/>
        <v>0</v>
      </c>
      <c r="AK243" s="123"/>
      <c r="AL243" s="143">
        <f t="shared" si="412"/>
        <v>0</v>
      </c>
      <c r="AM243" s="132">
        <f>88-23</f>
        <v>65</v>
      </c>
      <c r="AN243" s="143">
        <f t="shared" si="436"/>
        <v>4443290.6680421997</v>
      </c>
      <c r="AO243" s="130"/>
      <c r="AP243" s="143"/>
      <c r="AQ243" s="143">
        <v>0</v>
      </c>
      <c r="AR243" s="143">
        <v>0</v>
      </c>
      <c r="AS243" s="123"/>
      <c r="AT243" s="123"/>
      <c r="AU243" s="123"/>
      <c r="AV243" s="123"/>
      <c r="AW243" s="123"/>
      <c r="AX243" s="143"/>
      <c r="AY243" s="123"/>
      <c r="AZ243" s="143"/>
      <c r="BA243" s="123"/>
      <c r="BB243" s="143"/>
      <c r="BC243" s="123"/>
      <c r="BD243" s="146"/>
      <c r="BE243" s="123"/>
      <c r="BF243" s="143"/>
      <c r="BG243" s="123"/>
      <c r="BH243" s="143"/>
      <c r="BI243" s="123"/>
      <c r="BJ243" s="143"/>
      <c r="BK243" s="123"/>
      <c r="BL243" s="143"/>
      <c r="BM243" s="123"/>
      <c r="BN243" s="143"/>
      <c r="BO243" s="123"/>
      <c r="BP243" s="143"/>
      <c r="BQ243" s="123"/>
      <c r="BR243" s="123"/>
      <c r="BS243" s="123"/>
      <c r="BT243" s="143"/>
      <c r="BU243" s="123"/>
      <c r="BV243" s="123"/>
      <c r="BW243" s="123"/>
      <c r="BX243" s="143"/>
      <c r="BY243" s="123"/>
      <c r="BZ243" s="143"/>
      <c r="CA243" s="123"/>
      <c r="CB243" s="143"/>
      <c r="CC243" s="123"/>
      <c r="CD243" s="146"/>
      <c r="CE243" s="123"/>
      <c r="CF243" s="143"/>
      <c r="CG243" s="132"/>
      <c r="CH243" s="143"/>
      <c r="CI243" s="123"/>
      <c r="CJ243" s="127"/>
      <c r="CK243" s="123"/>
      <c r="CL243" s="123"/>
      <c r="CM243" s="130"/>
      <c r="CN243" s="143"/>
      <c r="CO243" s="123"/>
      <c r="CP243" s="143"/>
      <c r="CQ243" s="123"/>
      <c r="CR243" s="143"/>
      <c r="CS243" s="123"/>
      <c r="CT243" s="143"/>
      <c r="CU243" s="127"/>
      <c r="CV243" s="127"/>
      <c r="CW243" s="126">
        <f t="shared" si="437"/>
        <v>408</v>
      </c>
      <c r="CX243" s="126">
        <f t="shared" si="437"/>
        <v>25989322.350707896</v>
      </c>
    </row>
    <row r="244" spans="1:102" x14ac:dyDescent="0.25">
      <c r="A244" s="91"/>
      <c r="B244" s="116" t="s">
        <v>588</v>
      </c>
      <c r="C244" s="202" t="s">
        <v>589</v>
      </c>
      <c r="D244" s="278" t="s">
        <v>590</v>
      </c>
      <c r="E244" s="95"/>
      <c r="F244" s="96">
        <v>29405</v>
      </c>
      <c r="G244" s="280">
        <v>2.17</v>
      </c>
      <c r="H244" s="107">
        <v>1</v>
      </c>
      <c r="I244" s="108"/>
      <c r="J244" s="108"/>
      <c r="K244" s="108"/>
      <c r="L244" s="163">
        <v>0.29770000000000002</v>
      </c>
      <c r="M244" s="213">
        <v>1.4</v>
      </c>
      <c r="N244" s="213">
        <v>1.68</v>
      </c>
      <c r="O244" s="213">
        <v>2.23</v>
      </c>
      <c r="P244" s="214">
        <v>2.57</v>
      </c>
      <c r="Q244" s="122"/>
      <c r="R244" s="143"/>
      <c r="S244" s="157"/>
      <c r="T244" s="144"/>
      <c r="U244" s="143"/>
      <c r="V244" s="143"/>
      <c r="W244" s="123"/>
      <c r="X244" s="143"/>
      <c r="Y244" s="123">
        <f>163-54</f>
        <v>109</v>
      </c>
      <c r="Z244" s="143">
        <f t="shared" si="439"/>
        <v>8739980.9190549087</v>
      </c>
      <c r="AA244" s="123"/>
      <c r="AB244" s="143"/>
      <c r="AC244" s="123"/>
      <c r="AD244" s="123"/>
      <c r="AE244" s="123"/>
      <c r="AF244" s="143"/>
      <c r="AG244" s="123"/>
      <c r="AH244" s="143"/>
      <c r="AI244" s="123"/>
      <c r="AJ244" s="143">
        <f t="shared" si="411"/>
        <v>0</v>
      </c>
      <c r="AK244" s="123"/>
      <c r="AL244" s="143">
        <f t="shared" si="412"/>
        <v>0</v>
      </c>
      <c r="AM244" s="132">
        <f>65-2</f>
        <v>63</v>
      </c>
      <c r="AN244" s="143">
        <f t="shared" si="436"/>
        <v>5497215.0880366433</v>
      </c>
      <c r="AO244" s="130"/>
      <c r="AP244" s="143"/>
      <c r="AQ244" s="143">
        <v>0</v>
      </c>
      <c r="AR244" s="143">
        <v>0</v>
      </c>
      <c r="AS244" s="123"/>
      <c r="AT244" s="123"/>
      <c r="AU244" s="123"/>
      <c r="AV244" s="123"/>
      <c r="AW244" s="123"/>
      <c r="AX244" s="143"/>
      <c r="AY244" s="123"/>
      <c r="AZ244" s="143"/>
      <c r="BA244" s="123"/>
      <c r="BB244" s="143"/>
      <c r="BC244" s="123"/>
      <c r="BD244" s="146"/>
      <c r="BE244" s="123"/>
      <c r="BF244" s="143"/>
      <c r="BG244" s="123"/>
      <c r="BH244" s="143"/>
      <c r="BI244" s="123"/>
      <c r="BJ244" s="143"/>
      <c r="BK244" s="123"/>
      <c r="BL244" s="143"/>
      <c r="BM244" s="123"/>
      <c r="BN244" s="143"/>
      <c r="BO244" s="123"/>
      <c r="BP244" s="143"/>
      <c r="BQ244" s="123"/>
      <c r="BR244" s="123"/>
      <c r="BS244" s="123"/>
      <c r="BT244" s="143"/>
      <c r="BU244" s="123"/>
      <c r="BV244" s="123"/>
      <c r="BW244" s="123"/>
      <c r="BX244" s="143"/>
      <c r="BY244" s="123"/>
      <c r="BZ244" s="143"/>
      <c r="CA244" s="123"/>
      <c r="CB244" s="143"/>
      <c r="CC244" s="123"/>
      <c r="CD244" s="146"/>
      <c r="CE244" s="123"/>
      <c r="CF244" s="143"/>
      <c r="CG244" s="132"/>
      <c r="CH244" s="143"/>
      <c r="CI244" s="123"/>
      <c r="CJ244" s="127"/>
      <c r="CK244" s="123"/>
      <c r="CL244" s="123"/>
      <c r="CM244" s="130"/>
      <c r="CN244" s="143"/>
      <c r="CO244" s="123"/>
      <c r="CP244" s="143"/>
      <c r="CQ244" s="123"/>
      <c r="CR244" s="143"/>
      <c r="CS244" s="123"/>
      <c r="CT244" s="143"/>
      <c r="CU244" s="127"/>
      <c r="CV244" s="127"/>
      <c r="CW244" s="126">
        <f t="shared" si="437"/>
        <v>172</v>
      </c>
      <c r="CX244" s="126">
        <f t="shared" si="437"/>
        <v>14237196.007091552</v>
      </c>
    </row>
    <row r="245" spans="1:102" ht="60" x14ac:dyDescent="0.25">
      <c r="A245" s="91"/>
      <c r="B245" s="116">
        <v>201</v>
      </c>
      <c r="C245" s="202" t="s">
        <v>591</v>
      </c>
      <c r="D245" s="148" t="s">
        <v>592</v>
      </c>
      <c r="E245" s="95">
        <v>28004</v>
      </c>
      <c r="F245" s="96">
        <v>29405</v>
      </c>
      <c r="G245" s="149">
        <v>2.37</v>
      </c>
      <c r="H245" s="107">
        <v>1</v>
      </c>
      <c r="I245" s="108"/>
      <c r="J245" s="108"/>
      <c r="K245" s="108"/>
      <c r="L245" s="163">
        <v>0.1042</v>
      </c>
      <c r="M245" s="120">
        <v>1.4</v>
      </c>
      <c r="N245" s="120">
        <v>1.68</v>
      </c>
      <c r="O245" s="120">
        <v>2.23</v>
      </c>
      <c r="P245" s="121">
        <v>2.57</v>
      </c>
      <c r="Q245" s="122">
        <v>0</v>
      </c>
      <c r="R245" s="143">
        <f t="shared" si="404"/>
        <v>0</v>
      </c>
      <c r="S245" s="157"/>
      <c r="T245" s="144">
        <f>(S245/12*2*$E245*$G245*((1-$L245)+$L245*$M245*$R$11*$H245))+(S245/12*10*$F245*$G245*((1-$L245)+$L245*$M245*$R$11*$H245))</f>
        <v>0</v>
      </c>
      <c r="U245" s="143"/>
      <c r="V245" s="143">
        <f t="shared" si="405"/>
        <v>0</v>
      </c>
      <c r="W245" s="123"/>
      <c r="X245" s="143">
        <f t="shared" si="406"/>
        <v>0</v>
      </c>
      <c r="Y245" s="123">
        <f>36+14</f>
        <v>50</v>
      </c>
      <c r="Z245" s="143">
        <f t="shared" si="407"/>
        <v>3772963.7736505005</v>
      </c>
      <c r="AA245" s="123"/>
      <c r="AB245" s="143">
        <f t="shared" si="408"/>
        <v>0</v>
      </c>
      <c r="AC245" s="123"/>
      <c r="AD245" s="123"/>
      <c r="AE245" s="123"/>
      <c r="AF245" s="143">
        <f t="shared" si="409"/>
        <v>0</v>
      </c>
      <c r="AG245" s="123">
        <v>0</v>
      </c>
      <c r="AH245" s="143">
        <f t="shared" si="410"/>
        <v>0</v>
      </c>
      <c r="AI245" s="123"/>
      <c r="AJ245" s="143">
        <f t="shared" si="411"/>
        <v>0</v>
      </c>
      <c r="AK245" s="123"/>
      <c r="AL245" s="143">
        <f t="shared" si="412"/>
        <v>0</v>
      </c>
      <c r="AM245" s="132">
        <f>59+33</f>
        <v>92</v>
      </c>
      <c r="AN245" s="143">
        <f t="shared" si="413"/>
        <v>7191147.182662705</v>
      </c>
      <c r="AO245" s="130"/>
      <c r="AP245" s="143">
        <f t="shared" si="414"/>
        <v>0</v>
      </c>
      <c r="AQ245" s="143">
        <v>0</v>
      </c>
      <c r="AR245" s="143">
        <v>0</v>
      </c>
      <c r="AS245" s="123"/>
      <c r="AT245" s="123"/>
      <c r="AU245" s="123"/>
      <c r="AV245" s="123"/>
      <c r="AW245" s="123"/>
      <c r="AX245" s="143">
        <f t="shared" si="415"/>
        <v>0</v>
      </c>
      <c r="AY245" s="123">
        <v>0</v>
      </c>
      <c r="AZ245" s="143">
        <f t="shared" si="416"/>
        <v>0</v>
      </c>
      <c r="BA245" s="123"/>
      <c r="BB245" s="143">
        <f t="shared" si="417"/>
        <v>0</v>
      </c>
      <c r="BC245" s="123"/>
      <c r="BD245" s="146">
        <f t="shared" si="438"/>
        <v>0</v>
      </c>
      <c r="BE245" s="123"/>
      <c r="BF245" s="143">
        <f t="shared" si="418"/>
        <v>0</v>
      </c>
      <c r="BG245" s="123"/>
      <c r="BH245" s="143">
        <f t="shared" si="419"/>
        <v>0</v>
      </c>
      <c r="BI245" s="123"/>
      <c r="BJ245" s="143">
        <f t="shared" si="420"/>
        <v>0</v>
      </c>
      <c r="BK245" s="123"/>
      <c r="BL245" s="143">
        <f t="shared" si="421"/>
        <v>0</v>
      </c>
      <c r="BM245" s="123"/>
      <c r="BN245" s="143">
        <f t="shared" si="422"/>
        <v>0</v>
      </c>
      <c r="BO245" s="123"/>
      <c r="BP245" s="143">
        <f t="shared" si="423"/>
        <v>0</v>
      </c>
      <c r="BQ245" s="123"/>
      <c r="BR245" s="123"/>
      <c r="BS245" s="123"/>
      <c r="BT245" s="143">
        <f t="shared" si="424"/>
        <v>0</v>
      </c>
      <c r="BU245" s="123"/>
      <c r="BV245" s="123"/>
      <c r="BW245" s="123"/>
      <c r="BX245" s="143">
        <f t="shared" si="425"/>
        <v>0</v>
      </c>
      <c r="BY245" s="123"/>
      <c r="BZ245" s="143">
        <f t="shared" si="426"/>
        <v>0</v>
      </c>
      <c r="CA245" s="123"/>
      <c r="CB245" s="143">
        <f t="shared" si="427"/>
        <v>0</v>
      </c>
      <c r="CC245" s="123"/>
      <c r="CD245" s="146">
        <f t="shared" si="428"/>
        <v>0</v>
      </c>
      <c r="CE245" s="123"/>
      <c r="CF245" s="143">
        <f t="shared" si="429"/>
        <v>0</v>
      </c>
      <c r="CG245" s="132"/>
      <c r="CH245" s="143">
        <f t="shared" si="430"/>
        <v>0</v>
      </c>
      <c r="CI245" s="123"/>
      <c r="CJ245" s="127"/>
      <c r="CK245" s="123"/>
      <c r="CL245" s="123"/>
      <c r="CM245" s="130"/>
      <c r="CN245" s="143">
        <f t="shared" si="431"/>
        <v>0</v>
      </c>
      <c r="CO245" s="123"/>
      <c r="CP245" s="143">
        <f t="shared" si="432"/>
        <v>0</v>
      </c>
      <c r="CQ245" s="123"/>
      <c r="CR245" s="143">
        <f t="shared" si="433"/>
        <v>0</v>
      </c>
      <c r="CS245" s="123"/>
      <c r="CT245" s="143">
        <f t="shared" si="434"/>
        <v>0</v>
      </c>
      <c r="CU245" s="127"/>
      <c r="CV245" s="127"/>
      <c r="CW245" s="126">
        <f t="shared" si="437"/>
        <v>142</v>
      </c>
      <c r="CX245" s="126">
        <f t="shared" si="437"/>
        <v>10964110.956313206</v>
      </c>
    </row>
    <row r="246" spans="1:102" x14ac:dyDescent="0.25">
      <c r="A246" s="91"/>
      <c r="B246" s="116" t="s">
        <v>593</v>
      </c>
      <c r="C246" s="202" t="s">
        <v>594</v>
      </c>
      <c r="D246" s="278" t="s">
        <v>595</v>
      </c>
      <c r="E246" s="95"/>
      <c r="F246" s="96">
        <v>29405</v>
      </c>
      <c r="G246" s="280">
        <v>1.68</v>
      </c>
      <c r="H246" s="107">
        <v>1</v>
      </c>
      <c r="I246" s="108"/>
      <c r="J246" s="108"/>
      <c r="K246" s="108"/>
      <c r="L246" s="163">
        <v>0.1042</v>
      </c>
      <c r="M246" s="213">
        <v>1.4</v>
      </c>
      <c r="N246" s="213">
        <v>1.68</v>
      </c>
      <c r="O246" s="213">
        <v>2.23</v>
      </c>
      <c r="P246" s="214">
        <v>2.57</v>
      </c>
      <c r="Q246" s="122"/>
      <c r="R246" s="143"/>
      <c r="S246" s="157"/>
      <c r="T246" s="144"/>
      <c r="U246" s="143"/>
      <c r="V246" s="143"/>
      <c r="W246" s="123"/>
      <c r="X246" s="143"/>
      <c r="Y246" s="123">
        <f>22+36</f>
        <v>58</v>
      </c>
      <c r="Z246" s="143">
        <f t="shared" si="439"/>
        <v>3122578.6939132796</v>
      </c>
      <c r="AA246" s="123"/>
      <c r="AB246" s="143"/>
      <c r="AC246" s="123"/>
      <c r="AD246" s="123"/>
      <c r="AE246" s="123"/>
      <c r="AF246" s="143"/>
      <c r="AG246" s="123"/>
      <c r="AH246" s="143"/>
      <c r="AI246" s="123"/>
      <c r="AJ246" s="143">
        <f t="shared" si="411"/>
        <v>0</v>
      </c>
      <c r="AK246" s="123"/>
      <c r="AL246" s="143">
        <f t="shared" si="412"/>
        <v>0</v>
      </c>
      <c r="AM246" s="132">
        <f>21+37</f>
        <v>58</v>
      </c>
      <c r="AN246" s="143">
        <f t="shared" si="436"/>
        <v>3233761.044183936</v>
      </c>
      <c r="AO246" s="130"/>
      <c r="AP246" s="143"/>
      <c r="AQ246" s="143">
        <v>0</v>
      </c>
      <c r="AR246" s="143">
        <v>0</v>
      </c>
      <c r="AS246" s="123"/>
      <c r="AT246" s="123"/>
      <c r="AU246" s="123"/>
      <c r="AV246" s="123"/>
      <c r="AW246" s="123"/>
      <c r="AX246" s="143"/>
      <c r="AY246" s="123"/>
      <c r="AZ246" s="143"/>
      <c r="BA246" s="123"/>
      <c r="BB246" s="143"/>
      <c r="BC246" s="123"/>
      <c r="BD246" s="146"/>
      <c r="BE246" s="123"/>
      <c r="BF246" s="143"/>
      <c r="BG246" s="123"/>
      <c r="BH246" s="143"/>
      <c r="BI246" s="123"/>
      <c r="BJ246" s="143"/>
      <c r="BK246" s="123"/>
      <c r="BL246" s="143"/>
      <c r="BM246" s="123"/>
      <c r="BN246" s="143"/>
      <c r="BO246" s="123"/>
      <c r="BP246" s="143"/>
      <c r="BQ246" s="123"/>
      <c r="BR246" s="123"/>
      <c r="BS246" s="123"/>
      <c r="BT246" s="143"/>
      <c r="BU246" s="123"/>
      <c r="BV246" s="123"/>
      <c r="BW246" s="123"/>
      <c r="BX246" s="143"/>
      <c r="BY246" s="123"/>
      <c r="BZ246" s="143"/>
      <c r="CA246" s="123"/>
      <c r="CB246" s="143"/>
      <c r="CC246" s="123"/>
      <c r="CD246" s="146"/>
      <c r="CE246" s="123"/>
      <c r="CF246" s="143"/>
      <c r="CG246" s="132"/>
      <c r="CH246" s="143"/>
      <c r="CI246" s="123"/>
      <c r="CJ246" s="127"/>
      <c r="CK246" s="123"/>
      <c r="CL246" s="123"/>
      <c r="CM246" s="130"/>
      <c r="CN246" s="143"/>
      <c r="CO246" s="123"/>
      <c r="CP246" s="143"/>
      <c r="CQ246" s="123"/>
      <c r="CR246" s="143"/>
      <c r="CS246" s="123"/>
      <c r="CT246" s="143"/>
      <c r="CU246" s="127"/>
      <c r="CV246" s="127"/>
      <c r="CW246" s="126">
        <f t="shared" si="437"/>
        <v>116</v>
      </c>
      <c r="CX246" s="126">
        <f t="shared" si="437"/>
        <v>6356339.7380972151</v>
      </c>
    </row>
    <row r="247" spans="1:102" x14ac:dyDescent="0.25">
      <c r="A247" s="91"/>
      <c r="B247" s="116" t="s">
        <v>596</v>
      </c>
      <c r="C247" s="202" t="s">
        <v>597</v>
      </c>
      <c r="D247" s="278" t="s">
        <v>598</v>
      </c>
      <c r="E247" s="95"/>
      <c r="F247" s="96">
        <v>29405</v>
      </c>
      <c r="G247" s="280">
        <v>2.42</v>
      </c>
      <c r="H247" s="107">
        <v>1</v>
      </c>
      <c r="I247" s="108"/>
      <c r="J247" s="108"/>
      <c r="K247" s="108"/>
      <c r="L247" s="163">
        <v>0.1042</v>
      </c>
      <c r="M247" s="213">
        <v>1.4</v>
      </c>
      <c r="N247" s="213">
        <v>1.68</v>
      </c>
      <c r="O247" s="213">
        <v>2.23</v>
      </c>
      <c r="P247" s="214">
        <v>2.57</v>
      </c>
      <c r="Q247" s="122"/>
      <c r="R247" s="143"/>
      <c r="S247" s="157"/>
      <c r="T247" s="144"/>
      <c r="U247" s="143"/>
      <c r="V247" s="143"/>
      <c r="W247" s="123"/>
      <c r="X247" s="143"/>
      <c r="Y247" s="123">
        <f>66-9</f>
        <v>57</v>
      </c>
      <c r="Z247" s="143">
        <f t="shared" si="439"/>
        <v>4420448.5328242797</v>
      </c>
      <c r="AA247" s="123"/>
      <c r="AB247" s="143"/>
      <c r="AC247" s="123"/>
      <c r="AD247" s="123"/>
      <c r="AE247" s="123"/>
      <c r="AF247" s="143"/>
      <c r="AG247" s="123"/>
      <c r="AH247" s="143"/>
      <c r="AI247" s="123"/>
      <c r="AJ247" s="143">
        <f t="shared" si="411"/>
        <v>0</v>
      </c>
      <c r="AK247" s="123"/>
      <c r="AL247" s="143">
        <f t="shared" si="412"/>
        <v>0</v>
      </c>
      <c r="AM247" s="132">
        <f>52+28</f>
        <v>80</v>
      </c>
      <c r="AN247" s="143">
        <f t="shared" si="436"/>
        <v>6425042.4687398402</v>
      </c>
      <c r="AO247" s="130"/>
      <c r="AP247" s="143"/>
      <c r="AQ247" s="143">
        <v>0</v>
      </c>
      <c r="AR247" s="143">
        <v>0</v>
      </c>
      <c r="AS247" s="123"/>
      <c r="AT247" s="123"/>
      <c r="AU247" s="123"/>
      <c r="AV247" s="123"/>
      <c r="AW247" s="123"/>
      <c r="AX247" s="143"/>
      <c r="AY247" s="123"/>
      <c r="AZ247" s="143"/>
      <c r="BA247" s="123"/>
      <c r="BB247" s="143"/>
      <c r="BC247" s="123"/>
      <c r="BD247" s="146"/>
      <c r="BE247" s="123"/>
      <c r="BF247" s="143"/>
      <c r="BG247" s="123"/>
      <c r="BH247" s="143"/>
      <c r="BI247" s="123"/>
      <c r="BJ247" s="143"/>
      <c r="BK247" s="123"/>
      <c r="BL247" s="143"/>
      <c r="BM247" s="123"/>
      <c r="BN247" s="143"/>
      <c r="BO247" s="123"/>
      <c r="BP247" s="143"/>
      <c r="BQ247" s="123"/>
      <c r="BR247" s="123"/>
      <c r="BS247" s="123"/>
      <c r="BT247" s="143"/>
      <c r="BU247" s="123"/>
      <c r="BV247" s="123"/>
      <c r="BW247" s="123"/>
      <c r="BX247" s="143"/>
      <c r="BY247" s="123"/>
      <c r="BZ247" s="143"/>
      <c r="CA247" s="123"/>
      <c r="CB247" s="143"/>
      <c r="CC247" s="123"/>
      <c r="CD247" s="146"/>
      <c r="CE247" s="123"/>
      <c r="CF247" s="143"/>
      <c r="CG247" s="132"/>
      <c r="CH247" s="143"/>
      <c r="CI247" s="123"/>
      <c r="CJ247" s="127"/>
      <c r="CK247" s="123"/>
      <c r="CL247" s="123"/>
      <c r="CM247" s="130"/>
      <c r="CN247" s="143"/>
      <c r="CO247" s="123"/>
      <c r="CP247" s="143"/>
      <c r="CQ247" s="123"/>
      <c r="CR247" s="143"/>
      <c r="CS247" s="123"/>
      <c r="CT247" s="143"/>
      <c r="CU247" s="127"/>
      <c r="CV247" s="127"/>
      <c r="CW247" s="126">
        <f t="shared" si="437"/>
        <v>137</v>
      </c>
      <c r="CX247" s="126">
        <f t="shared" si="437"/>
        <v>10845491.001564119</v>
      </c>
    </row>
    <row r="248" spans="1:102" x14ac:dyDescent="0.25">
      <c r="A248" s="91"/>
      <c r="B248" s="116" t="s">
        <v>599</v>
      </c>
      <c r="C248" s="202" t="s">
        <v>600</v>
      </c>
      <c r="D248" s="278" t="s">
        <v>601</v>
      </c>
      <c r="E248" s="95"/>
      <c r="F248" s="96">
        <v>29405</v>
      </c>
      <c r="G248" s="280">
        <v>2.91</v>
      </c>
      <c r="H248" s="107">
        <v>1</v>
      </c>
      <c r="I248" s="108"/>
      <c r="J248" s="108"/>
      <c r="K248" s="108"/>
      <c r="L248" s="163">
        <v>0.1042</v>
      </c>
      <c r="M248" s="213">
        <v>1.4</v>
      </c>
      <c r="N248" s="213">
        <v>1.68</v>
      </c>
      <c r="O248" s="213">
        <v>2.23</v>
      </c>
      <c r="P248" s="214">
        <v>2.57</v>
      </c>
      <c r="Q248" s="122"/>
      <c r="R248" s="143"/>
      <c r="S248" s="157"/>
      <c r="T248" s="144"/>
      <c r="U248" s="143"/>
      <c r="V248" s="143"/>
      <c r="W248" s="123"/>
      <c r="X248" s="143"/>
      <c r="Y248" s="123">
        <f>22+46</f>
        <v>68</v>
      </c>
      <c r="Z248" s="143">
        <f t="shared" si="439"/>
        <v>6341295.8944125604</v>
      </c>
      <c r="AA248" s="123"/>
      <c r="AB248" s="143"/>
      <c r="AC248" s="123"/>
      <c r="AD248" s="123"/>
      <c r="AE248" s="123"/>
      <c r="AF248" s="143"/>
      <c r="AG248" s="123"/>
      <c r="AH248" s="143"/>
      <c r="AI248" s="123"/>
      <c r="AJ248" s="143">
        <f t="shared" si="411"/>
        <v>0</v>
      </c>
      <c r="AK248" s="123"/>
      <c r="AL248" s="143">
        <f t="shared" si="412"/>
        <v>0</v>
      </c>
      <c r="AM248" s="132">
        <f>22+44</f>
        <v>66</v>
      </c>
      <c r="AN248" s="143">
        <f t="shared" si="436"/>
        <v>6373934.1763748638</v>
      </c>
      <c r="AO248" s="130"/>
      <c r="AP248" s="143"/>
      <c r="AQ248" s="143">
        <v>0</v>
      </c>
      <c r="AR248" s="143">
        <v>0</v>
      </c>
      <c r="AS248" s="123"/>
      <c r="AT248" s="123"/>
      <c r="AU248" s="123"/>
      <c r="AV248" s="123"/>
      <c r="AW248" s="123"/>
      <c r="AX248" s="143"/>
      <c r="AY248" s="123"/>
      <c r="AZ248" s="143"/>
      <c r="BA248" s="123"/>
      <c r="BB248" s="143"/>
      <c r="BC248" s="123"/>
      <c r="BD248" s="146"/>
      <c r="BE248" s="123"/>
      <c r="BF248" s="143"/>
      <c r="BG248" s="123"/>
      <c r="BH248" s="143"/>
      <c r="BI248" s="123"/>
      <c r="BJ248" s="143"/>
      <c r="BK248" s="123"/>
      <c r="BL248" s="143"/>
      <c r="BM248" s="123"/>
      <c r="BN248" s="143"/>
      <c r="BO248" s="123"/>
      <c r="BP248" s="143"/>
      <c r="BQ248" s="123"/>
      <c r="BR248" s="123"/>
      <c r="BS248" s="123"/>
      <c r="BT248" s="143"/>
      <c r="BU248" s="123"/>
      <c r="BV248" s="123"/>
      <c r="BW248" s="123"/>
      <c r="BX248" s="143"/>
      <c r="BY248" s="123"/>
      <c r="BZ248" s="143"/>
      <c r="CA248" s="123"/>
      <c r="CB248" s="143"/>
      <c r="CC248" s="123"/>
      <c r="CD248" s="146"/>
      <c r="CE248" s="123"/>
      <c r="CF248" s="143"/>
      <c r="CG248" s="132"/>
      <c r="CH248" s="143"/>
      <c r="CI248" s="123"/>
      <c r="CJ248" s="127"/>
      <c r="CK248" s="123"/>
      <c r="CL248" s="123"/>
      <c r="CM248" s="130"/>
      <c r="CN248" s="143"/>
      <c r="CO248" s="123"/>
      <c r="CP248" s="143"/>
      <c r="CQ248" s="123"/>
      <c r="CR248" s="143"/>
      <c r="CS248" s="123"/>
      <c r="CT248" s="143"/>
      <c r="CU248" s="127"/>
      <c r="CV248" s="127"/>
      <c r="CW248" s="126">
        <f t="shared" si="437"/>
        <v>134</v>
      </c>
      <c r="CX248" s="126">
        <f t="shared" si="437"/>
        <v>12715230.070787424</v>
      </c>
    </row>
    <row r="249" spans="1:102" ht="60" x14ac:dyDescent="0.25">
      <c r="A249" s="91"/>
      <c r="B249" s="116">
        <v>202</v>
      </c>
      <c r="C249" s="202" t="s">
        <v>602</v>
      </c>
      <c r="D249" s="148" t="s">
        <v>603</v>
      </c>
      <c r="E249" s="95">
        <v>28004</v>
      </c>
      <c r="F249" s="96">
        <v>29405</v>
      </c>
      <c r="G249" s="149">
        <v>3.2</v>
      </c>
      <c r="H249" s="107">
        <v>1</v>
      </c>
      <c r="I249" s="108"/>
      <c r="J249" s="108"/>
      <c r="K249" s="108"/>
      <c r="L249" s="163">
        <v>0.18310000000000001</v>
      </c>
      <c r="M249" s="120">
        <v>1.4</v>
      </c>
      <c r="N249" s="120">
        <v>1.68</v>
      </c>
      <c r="O249" s="120">
        <v>2.23</v>
      </c>
      <c r="P249" s="121">
        <v>2.57</v>
      </c>
      <c r="Q249" s="122">
        <v>0</v>
      </c>
      <c r="R249" s="143">
        <f t="shared" si="404"/>
        <v>0</v>
      </c>
      <c r="S249" s="157"/>
      <c r="T249" s="144">
        <f>(S249/12*2*$E249*$G249*((1-$L249)+$L249*$M249*$R$11*$H249))+(S249/12*10*$F249*$G249*((1-$L249)+$L249*$M249*$R$11*$H249))</f>
        <v>0</v>
      </c>
      <c r="U249" s="143"/>
      <c r="V249" s="143">
        <f t="shared" si="405"/>
        <v>0</v>
      </c>
      <c r="W249" s="123"/>
      <c r="X249" s="143">
        <f t="shared" si="406"/>
        <v>0</v>
      </c>
      <c r="Y249" s="123">
        <f>3+3</f>
        <v>6</v>
      </c>
      <c r="Z249" s="143">
        <f t="shared" si="407"/>
        <v>650101.47298880003</v>
      </c>
      <c r="AA249" s="123"/>
      <c r="AB249" s="143">
        <f t="shared" si="408"/>
        <v>0</v>
      </c>
      <c r="AC249" s="123"/>
      <c r="AD249" s="123"/>
      <c r="AE249" s="123"/>
      <c r="AF249" s="143">
        <f t="shared" si="409"/>
        <v>0</v>
      </c>
      <c r="AG249" s="123">
        <v>0</v>
      </c>
      <c r="AH249" s="143">
        <f t="shared" si="410"/>
        <v>0</v>
      </c>
      <c r="AI249" s="123"/>
      <c r="AJ249" s="143">
        <f t="shared" si="411"/>
        <v>0</v>
      </c>
      <c r="AK249" s="123"/>
      <c r="AL249" s="143">
        <f t="shared" si="412"/>
        <v>0</v>
      </c>
      <c r="AM249" s="132">
        <f>6+3</f>
        <v>9</v>
      </c>
      <c r="AN249" s="143">
        <f t="shared" si="413"/>
        <v>1032920.7088838399</v>
      </c>
      <c r="AO249" s="130"/>
      <c r="AP249" s="143">
        <f t="shared" si="414"/>
        <v>0</v>
      </c>
      <c r="AQ249" s="143">
        <v>0</v>
      </c>
      <c r="AR249" s="143">
        <v>0</v>
      </c>
      <c r="AS249" s="123"/>
      <c r="AT249" s="123"/>
      <c r="AU249" s="123"/>
      <c r="AV249" s="123"/>
      <c r="AW249" s="123"/>
      <c r="AX249" s="143">
        <f t="shared" si="415"/>
        <v>0</v>
      </c>
      <c r="AY249" s="123">
        <v>0</v>
      </c>
      <c r="AZ249" s="143">
        <f t="shared" si="416"/>
        <v>0</v>
      </c>
      <c r="BA249" s="123"/>
      <c r="BB249" s="143">
        <f t="shared" si="417"/>
        <v>0</v>
      </c>
      <c r="BC249" s="123"/>
      <c r="BD249" s="146">
        <f t="shared" si="438"/>
        <v>0</v>
      </c>
      <c r="BE249" s="123"/>
      <c r="BF249" s="143">
        <f>(BE249/12*2*$E249*$G249*((1-$L249)+$L249*$H249*BF$11*$N249))+(BE249/12*10*$F249*$G249*((1-$L249)+$L249*$H249*BF$12*$N249))</f>
        <v>0</v>
      </c>
      <c r="BG249" s="123"/>
      <c r="BH249" s="143">
        <f t="shared" si="419"/>
        <v>0</v>
      </c>
      <c r="BI249" s="123"/>
      <c r="BJ249" s="143">
        <f t="shared" si="420"/>
        <v>0</v>
      </c>
      <c r="BK249" s="123"/>
      <c r="BL249" s="143">
        <f t="shared" si="421"/>
        <v>0</v>
      </c>
      <c r="BM249" s="123"/>
      <c r="BN249" s="143">
        <f t="shared" si="422"/>
        <v>0</v>
      </c>
      <c r="BO249" s="123"/>
      <c r="BP249" s="143">
        <f t="shared" si="423"/>
        <v>0</v>
      </c>
      <c r="BQ249" s="123"/>
      <c r="BR249" s="123"/>
      <c r="BS249" s="123"/>
      <c r="BT249" s="143">
        <f t="shared" si="424"/>
        <v>0</v>
      </c>
      <c r="BU249" s="123"/>
      <c r="BV249" s="123"/>
      <c r="BW249" s="123"/>
      <c r="BX249" s="143">
        <f t="shared" si="425"/>
        <v>0</v>
      </c>
      <c r="BY249" s="123"/>
      <c r="BZ249" s="143">
        <f t="shared" si="426"/>
        <v>0</v>
      </c>
      <c r="CA249" s="123"/>
      <c r="CB249" s="143">
        <f t="shared" si="427"/>
        <v>0</v>
      </c>
      <c r="CC249" s="123"/>
      <c r="CD249" s="146">
        <f t="shared" si="428"/>
        <v>0</v>
      </c>
      <c r="CE249" s="123"/>
      <c r="CF249" s="143">
        <f t="shared" si="429"/>
        <v>0</v>
      </c>
      <c r="CG249" s="132"/>
      <c r="CH249" s="143">
        <f t="shared" si="430"/>
        <v>0</v>
      </c>
      <c r="CI249" s="123"/>
      <c r="CJ249" s="127"/>
      <c r="CK249" s="123"/>
      <c r="CL249" s="123"/>
      <c r="CM249" s="130"/>
      <c r="CN249" s="143">
        <f t="shared" si="431"/>
        <v>0</v>
      </c>
      <c r="CO249" s="123"/>
      <c r="CP249" s="143">
        <f t="shared" si="432"/>
        <v>0</v>
      </c>
      <c r="CQ249" s="123"/>
      <c r="CR249" s="143">
        <f t="shared" si="433"/>
        <v>0</v>
      </c>
      <c r="CS249" s="123"/>
      <c r="CT249" s="143">
        <f t="shared" si="434"/>
        <v>0</v>
      </c>
      <c r="CU249" s="127"/>
      <c r="CV249" s="127"/>
      <c r="CW249" s="126">
        <f t="shared" si="437"/>
        <v>15</v>
      </c>
      <c r="CX249" s="126">
        <f t="shared" si="437"/>
        <v>1683022.1818726398</v>
      </c>
    </row>
    <row r="250" spans="1:102" x14ac:dyDescent="0.25">
      <c r="A250" s="91"/>
      <c r="B250" s="216" t="s">
        <v>604</v>
      </c>
      <c r="C250" s="202" t="s">
        <v>605</v>
      </c>
      <c r="D250" s="220" t="s">
        <v>606</v>
      </c>
      <c r="E250" s="95"/>
      <c r="F250" s="96">
        <v>29405</v>
      </c>
      <c r="G250" s="221">
        <v>1.93</v>
      </c>
      <c r="H250" s="107">
        <v>1</v>
      </c>
      <c r="I250" s="108"/>
      <c r="J250" s="108"/>
      <c r="K250" s="108"/>
      <c r="L250" s="163">
        <v>0.18310000000000001</v>
      </c>
      <c r="M250" s="213">
        <v>1.4</v>
      </c>
      <c r="N250" s="213">
        <v>1.68</v>
      </c>
      <c r="O250" s="213">
        <v>2.23</v>
      </c>
      <c r="P250" s="214">
        <v>2.57</v>
      </c>
      <c r="Q250" s="122"/>
      <c r="R250" s="143"/>
      <c r="S250" s="157"/>
      <c r="T250" s="144"/>
      <c r="U250" s="143"/>
      <c r="V250" s="143"/>
      <c r="W250" s="123"/>
      <c r="X250" s="143"/>
      <c r="Y250" s="222">
        <f>6-1</f>
        <v>5</v>
      </c>
      <c r="Z250" s="218">
        <f t="shared" si="439"/>
        <v>328544.43886565004</v>
      </c>
      <c r="AA250" s="123"/>
      <c r="AB250" s="143"/>
      <c r="AC250" s="123"/>
      <c r="AD250" s="123"/>
      <c r="AE250" s="123"/>
      <c r="AF250" s="143"/>
      <c r="AG250" s="123"/>
      <c r="AH250" s="143"/>
      <c r="AI250" s="123"/>
      <c r="AJ250" s="143">
        <f t="shared" si="411"/>
        <v>0</v>
      </c>
      <c r="AK250" s="123"/>
      <c r="AL250" s="143">
        <f t="shared" si="412"/>
        <v>0</v>
      </c>
      <c r="AM250" s="223">
        <f>5-2</f>
        <v>3</v>
      </c>
      <c r="AN250" s="218">
        <f t="shared" si="436"/>
        <v>208735.74225226796</v>
      </c>
      <c r="AO250" s="130"/>
      <c r="AP250" s="143"/>
      <c r="AQ250" s="143">
        <v>0</v>
      </c>
      <c r="AR250" s="143">
        <v>0</v>
      </c>
      <c r="AS250" s="123"/>
      <c r="AT250" s="123"/>
      <c r="AU250" s="123"/>
      <c r="AV250" s="123"/>
      <c r="AW250" s="123"/>
      <c r="AX250" s="143"/>
      <c r="AY250" s="131"/>
      <c r="AZ250" s="143"/>
      <c r="BA250" s="123"/>
      <c r="BB250" s="143"/>
      <c r="BC250" s="123"/>
      <c r="BD250" s="146"/>
      <c r="BE250" s="123"/>
      <c r="BF250" s="143"/>
      <c r="BG250" s="123"/>
      <c r="BH250" s="143"/>
      <c r="BI250" s="123"/>
      <c r="BJ250" s="143"/>
      <c r="BK250" s="123"/>
      <c r="BL250" s="143"/>
      <c r="BM250" s="123"/>
      <c r="BN250" s="143"/>
      <c r="BO250" s="123"/>
      <c r="BP250" s="143"/>
      <c r="BQ250" s="123"/>
      <c r="BR250" s="123"/>
      <c r="BS250" s="123"/>
      <c r="BT250" s="143"/>
      <c r="BU250" s="123"/>
      <c r="BV250" s="123"/>
      <c r="BW250" s="123"/>
      <c r="BX250" s="143"/>
      <c r="BY250" s="123"/>
      <c r="BZ250" s="143"/>
      <c r="CA250" s="123"/>
      <c r="CB250" s="143"/>
      <c r="CC250" s="123"/>
      <c r="CD250" s="146"/>
      <c r="CE250" s="123"/>
      <c r="CF250" s="143"/>
      <c r="CG250" s="132"/>
      <c r="CH250" s="143"/>
      <c r="CI250" s="123"/>
      <c r="CJ250" s="127"/>
      <c r="CK250" s="123"/>
      <c r="CL250" s="123"/>
      <c r="CM250" s="130"/>
      <c r="CN250" s="143"/>
      <c r="CO250" s="123"/>
      <c r="CP250" s="143"/>
      <c r="CQ250" s="123"/>
      <c r="CR250" s="143"/>
      <c r="CS250" s="123"/>
      <c r="CT250" s="143"/>
      <c r="CU250" s="127"/>
      <c r="CV250" s="127"/>
      <c r="CW250" s="126">
        <f t="shared" si="437"/>
        <v>8</v>
      </c>
      <c r="CX250" s="126">
        <f t="shared" si="437"/>
        <v>537280.18111791799</v>
      </c>
    </row>
    <row r="251" spans="1:102" x14ac:dyDescent="0.25">
      <c r="A251" s="91"/>
      <c r="B251" s="216" t="s">
        <v>607</v>
      </c>
      <c r="C251" s="202" t="s">
        <v>608</v>
      </c>
      <c r="D251" s="220" t="s">
        <v>609</v>
      </c>
      <c r="E251" s="95"/>
      <c r="F251" s="96">
        <v>29405</v>
      </c>
      <c r="G251" s="221">
        <v>2.86</v>
      </c>
      <c r="H251" s="107">
        <v>1</v>
      </c>
      <c r="I251" s="108"/>
      <c r="J251" s="108"/>
      <c r="K251" s="108"/>
      <c r="L251" s="163">
        <v>0.18310000000000001</v>
      </c>
      <c r="M251" s="213">
        <v>1.4</v>
      </c>
      <c r="N251" s="213">
        <v>1.68</v>
      </c>
      <c r="O251" s="213">
        <v>2.23</v>
      </c>
      <c r="P251" s="214">
        <v>2.57</v>
      </c>
      <c r="Q251" s="122"/>
      <c r="R251" s="143"/>
      <c r="S251" s="157"/>
      <c r="T251" s="144"/>
      <c r="U251" s="143"/>
      <c r="V251" s="143"/>
      <c r="W251" s="123"/>
      <c r="X251" s="143"/>
      <c r="Y251" s="222">
        <f>25-9</f>
        <v>16</v>
      </c>
      <c r="Z251" s="218">
        <f t="shared" si="439"/>
        <v>1557947.5152841602</v>
      </c>
      <c r="AA251" s="123"/>
      <c r="AB251" s="143"/>
      <c r="AC251" s="123"/>
      <c r="AD251" s="123"/>
      <c r="AE251" s="123"/>
      <c r="AF251" s="143"/>
      <c r="AG251" s="123"/>
      <c r="AH251" s="143"/>
      <c r="AI251" s="123"/>
      <c r="AJ251" s="143">
        <f t="shared" si="411"/>
        <v>0</v>
      </c>
      <c r="AK251" s="123"/>
      <c r="AL251" s="143">
        <f t="shared" si="412"/>
        <v>0</v>
      </c>
      <c r="AM251" s="223">
        <f>7-2</f>
        <v>5</v>
      </c>
      <c r="AN251" s="218">
        <f t="shared" si="436"/>
        <v>515530.41696155997</v>
      </c>
      <c r="AO251" s="130"/>
      <c r="AP251" s="143"/>
      <c r="AQ251" s="143">
        <v>0</v>
      </c>
      <c r="AR251" s="143">
        <v>0</v>
      </c>
      <c r="AS251" s="123"/>
      <c r="AT251" s="123"/>
      <c r="AU251" s="123"/>
      <c r="AV251" s="123"/>
      <c r="AW251" s="123"/>
      <c r="AX251" s="143"/>
      <c r="AY251" s="131"/>
      <c r="AZ251" s="143"/>
      <c r="BA251" s="123"/>
      <c r="BB251" s="143"/>
      <c r="BC251" s="123"/>
      <c r="BD251" s="146"/>
      <c r="BE251" s="123"/>
      <c r="BF251" s="143"/>
      <c r="BG251" s="123"/>
      <c r="BH251" s="143"/>
      <c r="BI251" s="123"/>
      <c r="BJ251" s="143"/>
      <c r="BK251" s="123"/>
      <c r="BL251" s="143"/>
      <c r="BM251" s="123"/>
      <c r="BN251" s="143"/>
      <c r="BO251" s="123"/>
      <c r="BP251" s="143"/>
      <c r="BQ251" s="123"/>
      <c r="BR251" s="123"/>
      <c r="BS251" s="123"/>
      <c r="BT251" s="143"/>
      <c r="BU251" s="123"/>
      <c r="BV251" s="123"/>
      <c r="BW251" s="123"/>
      <c r="BX251" s="143"/>
      <c r="BY251" s="123"/>
      <c r="BZ251" s="143"/>
      <c r="CA251" s="123"/>
      <c r="CB251" s="143"/>
      <c r="CC251" s="123"/>
      <c r="CD251" s="146"/>
      <c r="CE251" s="123"/>
      <c r="CF251" s="143"/>
      <c r="CG251" s="132"/>
      <c r="CH251" s="143"/>
      <c r="CI251" s="123"/>
      <c r="CJ251" s="127"/>
      <c r="CK251" s="123"/>
      <c r="CL251" s="123"/>
      <c r="CM251" s="130"/>
      <c r="CN251" s="143"/>
      <c r="CO251" s="123"/>
      <c r="CP251" s="143"/>
      <c r="CQ251" s="123"/>
      <c r="CR251" s="143"/>
      <c r="CS251" s="123"/>
      <c r="CT251" s="143"/>
      <c r="CU251" s="127"/>
      <c r="CV251" s="127"/>
      <c r="CW251" s="126">
        <f t="shared" si="437"/>
        <v>21</v>
      </c>
      <c r="CX251" s="126">
        <f t="shared" si="437"/>
        <v>2073477.9322457202</v>
      </c>
    </row>
    <row r="252" spans="1:102" x14ac:dyDescent="0.25">
      <c r="A252" s="91"/>
      <c r="B252" s="216" t="s">
        <v>610</v>
      </c>
      <c r="C252" s="202" t="s">
        <v>611</v>
      </c>
      <c r="D252" s="220" t="s">
        <v>612</v>
      </c>
      <c r="E252" s="95"/>
      <c r="F252" s="96">
        <v>29405</v>
      </c>
      <c r="G252" s="221">
        <v>3.87</v>
      </c>
      <c r="H252" s="107">
        <v>1</v>
      </c>
      <c r="I252" s="108"/>
      <c r="J252" s="108"/>
      <c r="K252" s="108"/>
      <c r="L252" s="163">
        <v>0.18310000000000001</v>
      </c>
      <c r="M252" s="213">
        <v>1.4</v>
      </c>
      <c r="N252" s="213">
        <v>1.68</v>
      </c>
      <c r="O252" s="213">
        <v>2.23</v>
      </c>
      <c r="P252" s="214">
        <v>2.57</v>
      </c>
      <c r="Q252" s="122"/>
      <c r="R252" s="143"/>
      <c r="S252" s="157"/>
      <c r="T252" s="144"/>
      <c r="U252" s="143"/>
      <c r="V252" s="143"/>
      <c r="W252" s="123"/>
      <c r="X252" s="143"/>
      <c r="Y252" s="222">
        <f>24-7</f>
        <v>17</v>
      </c>
      <c r="Z252" s="218">
        <f t="shared" si="439"/>
        <v>2239890.0137793901</v>
      </c>
      <c r="AA252" s="123"/>
      <c r="AB252" s="143"/>
      <c r="AC252" s="123"/>
      <c r="AD252" s="123"/>
      <c r="AE252" s="123"/>
      <c r="AF252" s="143"/>
      <c r="AG252" s="123"/>
      <c r="AH252" s="143"/>
      <c r="AI252" s="123"/>
      <c r="AJ252" s="143">
        <f t="shared" si="411"/>
        <v>0</v>
      </c>
      <c r="AK252" s="123"/>
      <c r="AL252" s="143">
        <f t="shared" si="412"/>
        <v>0</v>
      </c>
      <c r="AM252" s="223">
        <f>13-5</f>
        <v>8</v>
      </c>
      <c r="AN252" s="218">
        <f t="shared" si="436"/>
        <v>1116141.378260832</v>
      </c>
      <c r="AO252" s="130"/>
      <c r="AP252" s="143"/>
      <c r="AQ252" s="143">
        <v>0</v>
      </c>
      <c r="AR252" s="143">
        <v>0</v>
      </c>
      <c r="AS252" s="123"/>
      <c r="AT252" s="123"/>
      <c r="AU252" s="123"/>
      <c r="AV252" s="123"/>
      <c r="AW252" s="123"/>
      <c r="AX252" s="143"/>
      <c r="AY252" s="131"/>
      <c r="AZ252" s="143"/>
      <c r="BA252" s="123"/>
      <c r="BB252" s="143"/>
      <c r="BC252" s="123"/>
      <c r="BD252" s="146"/>
      <c r="BE252" s="123"/>
      <c r="BF252" s="143"/>
      <c r="BG252" s="123"/>
      <c r="BH252" s="143"/>
      <c r="BI252" s="123"/>
      <c r="BJ252" s="143"/>
      <c r="BK252" s="123"/>
      <c r="BL252" s="143"/>
      <c r="BM252" s="123"/>
      <c r="BN252" s="143"/>
      <c r="BO252" s="123"/>
      <c r="BP252" s="143"/>
      <c r="BQ252" s="123"/>
      <c r="BR252" s="123"/>
      <c r="BS252" s="123"/>
      <c r="BT252" s="143"/>
      <c r="BU252" s="123"/>
      <c r="BV252" s="123"/>
      <c r="BW252" s="123"/>
      <c r="BX252" s="143"/>
      <c r="BY252" s="123"/>
      <c r="BZ252" s="143"/>
      <c r="CA252" s="123"/>
      <c r="CB252" s="143"/>
      <c r="CC252" s="123"/>
      <c r="CD252" s="146"/>
      <c r="CE252" s="123"/>
      <c r="CF252" s="143"/>
      <c r="CG252" s="132"/>
      <c r="CH252" s="143"/>
      <c r="CI252" s="123"/>
      <c r="CJ252" s="127"/>
      <c r="CK252" s="123"/>
      <c r="CL252" s="123"/>
      <c r="CM252" s="130"/>
      <c r="CN252" s="143"/>
      <c r="CO252" s="123"/>
      <c r="CP252" s="143"/>
      <c r="CQ252" s="123"/>
      <c r="CR252" s="143"/>
      <c r="CS252" s="123"/>
      <c r="CT252" s="143"/>
      <c r="CU252" s="127"/>
      <c r="CV252" s="127"/>
      <c r="CW252" s="126">
        <f t="shared" si="437"/>
        <v>25</v>
      </c>
      <c r="CX252" s="126">
        <f t="shared" si="437"/>
        <v>3356031.392040222</v>
      </c>
    </row>
    <row r="253" spans="1:102" ht="60" x14ac:dyDescent="0.25">
      <c r="A253" s="91"/>
      <c r="B253" s="116">
        <v>203</v>
      </c>
      <c r="C253" s="202" t="s">
        <v>613</v>
      </c>
      <c r="D253" s="148" t="s">
        <v>614</v>
      </c>
      <c r="E253" s="95">
        <v>28004</v>
      </c>
      <c r="F253" s="96">
        <v>29405</v>
      </c>
      <c r="G253" s="149">
        <v>3.87</v>
      </c>
      <c r="H253" s="107">
        <v>1</v>
      </c>
      <c r="I253" s="108"/>
      <c r="J253" s="108"/>
      <c r="K253" s="108"/>
      <c r="L253" s="163">
        <v>7.7600000000000002E-2</v>
      </c>
      <c r="M253" s="120">
        <v>1.4</v>
      </c>
      <c r="N253" s="120">
        <v>1.68</v>
      </c>
      <c r="O253" s="120">
        <v>2.23</v>
      </c>
      <c r="P253" s="121">
        <v>2.57</v>
      </c>
      <c r="Q253" s="122">
        <v>0</v>
      </c>
      <c r="R253" s="143">
        <f t="shared" si="404"/>
        <v>0</v>
      </c>
      <c r="S253" s="157"/>
      <c r="T253" s="144">
        <f>(S253/12*2*$E253*$G253*((1-$L253)+$L253*$M253*$R$11*$H253))+(S253/12*10*$F253*$G253*((1-$L253)+$L253*$M253*$R$11*$H253))</f>
        <v>0</v>
      </c>
      <c r="U253" s="143"/>
      <c r="V253" s="143">
        <f t="shared" si="405"/>
        <v>0</v>
      </c>
      <c r="W253" s="123"/>
      <c r="X253" s="143">
        <f t="shared" si="406"/>
        <v>0</v>
      </c>
      <c r="Y253" s="123">
        <f>12+4</f>
        <v>16</v>
      </c>
      <c r="Z253" s="143">
        <f t="shared" si="407"/>
        <v>1929322.60333248</v>
      </c>
      <c r="AA253" s="123"/>
      <c r="AB253" s="143">
        <f t="shared" si="408"/>
        <v>0</v>
      </c>
      <c r="AC253" s="123"/>
      <c r="AD253" s="123"/>
      <c r="AE253" s="123"/>
      <c r="AF253" s="143">
        <f t="shared" si="409"/>
        <v>0</v>
      </c>
      <c r="AG253" s="123">
        <v>0</v>
      </c>
      <c r="AH253" s="143">
        <f t="shared" si="410"/>
        <v>0</v>
      </c>
      <c r="AI253" s="123"/>
      <c r="AJ253" s="143">
        <f t="shared" si="411"/>
        <v>0</v>
      </c>
      <c r="AK253" s="123"/>
      <c r="AL253" s="143">
        <f t="shared" si="412"/>
        <v>0</v>
      </c>
      <c r="AM253" s="132">
        <f>6+5</f>
        <v>11</v>
      </c>
      <c r="AN253" s="143">
        <f t="shared" si="413"/>
        <v>1362598.2100668962</v>
      </c>
      <c r="AO253" s="130"/>
      <c r="AP253" s="143">
        <f t="shared" si="414"/>
        <v>0</v>
      </c>
      <c r="AQ253" s="143">
        <v>0</v>
      </c>
      <c r="AR253" s="143">
        <v>0</v>
      </c>
      <c r="AS253" s="123"/>
      <c r="AT253" s="123"/>
      <c r="AU253" s="123"/>
      <c r="AV253" s="123"/>
      <c r="AW253" s="123"/>
      <c r="AX253" s="143">
        <f t="shared" si="415"/>
        <v>0</v>
      </c>
      <c r="AY253" s="131">
        <v>0</v>
      </c>
      <c r="AZ253" s="143">
        <f t="shared" si="416"/>
        <v>0</v>
      </c>
      <c r="BA253" s="123"/>
      <c r="BB253" s="143">
        <f t="shared" si="417"/>
        <v>0</v>
      </c>
      <c r="BC253" s="123"/>
      <c r="BD253" s="146">
        <f t="shared" si="438"/>
        <v>0</v>
      </c>
      <c r="BE253" s="123"/>
      <c r="BF253" s="143">
        <f t="shared" si="418"/>
        <v>0</v>
      </c>
      <c r="BG253" s="123"/>
      <c r="BH253" s="143">
        <f t="shared" si="419"/>
        <v>0</v>
      </c>
      <c r="BI253" s="123"/>
      <c r="BJ253" s="143">
        <f t="shared" si="420"/>
        <v>0</v>
      </c>
      <c r="BK253" s="123"/>
      <c r="BL253" s="143">
        <f t="shared" si="421"/>
        <v>0</v>
      </c>
      <c r="BM253" s="123"/>
      <c r="BN253" s="143">
        <f t="shared" si="422"/>
        <v>0</v>
      </c>
      <c r="BO253" s="123"/>
      <c r="BP253" s="143">
        <f t="shared" si="423"/>
        <v>0</v>
      </c>
      <c r="BQ253" s="123"/>
      <c r="BR253" s="123"/>
      <c r="BS253" s="123"/>
      <c r="BT253" s="143">
        <f t="shared" si="424"/>
        <v>0</v>
      </c>
      <c r="BU253" s="123"/>
      <c r="BV253" s="123"/>
      <c r="BW253" s="123"/>
      <c r="BX253" s="143">
        <f t="shared" si="425"/>
        <v>0</v>
      </c>
      <c r="BY253" s="123"/>
      <c r="BZ253" s="143">
        <f t="shared" si="426"/>
        <v>0</v>
      </c>
      <c r="CA253" s="123"/>
      <c r="CB253" s="143">
        <f t="shared" si="427"/>
        <v>0</v>
      </c>
      <c r="CC253" s="123"/>
      <c r="CD253" s="146">
        <f t="shared" si="428"/>
        <v>0</v>
      </c>
      <c r="CE253" s="123"/>
      <c r="CF253" s="143">
        <f t="shared" si="429"/>
        <v>0</v>
      </c>
      <c r="CG253" s="132"/>
      <c r="CH253" s="143">
        <f t="shared" si="430"/>
        <v>0</v>
      </c>
      <c r="CI253" s="123"/>
      <c r="CJ253" s="127"/>
      <c r="CK253" s="123"/>
      <c r="CL253" s="123"/>
      <c r="CM253" s="130"/>
      <c r="CN253" s="143">
        <f t="shared" si="431"/>
        <v>0</v>
      </c>
      <c r="CO253" s="123"/>
      <c r="CP253" s="143">
        <f t="shared" si="432"/>
        <v>0</v>
      </c>
      <c r="CQ253" s="123"/>
      <c r="CR253" s="143">
        <f t="shared" si="433"/>
        <v>0</v>
      </c>
      <c r="CS253" s="123"/>
      <c r="CT253" s="143">
        <f t="shared" si="434"/>
        <v>0</v>
      </c>
      <c r="CU253" s="127"/>
      <c r="CV253" s="127"/>
      <c r="CW253" s="126">
        <f t="shared" si="437"/>
        <v>27</v>
      </c>
      <c r="CX253" s="126">
        <f t="shared" si="437"/>
        <v>3291920.8133993763</v>
      </c>
    </row>
    <row r="254" spans="1:102" x14ac:dyDescent="0.25">
      <c r="A254" s="91"/>
      <c r="B254" s="216" t="s">
        <v>615</v>
      </c>
      <c r="C254" s="202" t="s">
        <v>616</v>
      </c>
      <c r="D254" s="220" t="s">
        <v>617</v>
      </c>
      <c r="E254" s="95"/>
      <c r="F254" s="96">
        <v>29405</v>
      </c>
      <c r="G254" s="221">
        <v>3.15</v>
      </c>
      <c r="H254" s="107">
        <v>1</v>
      </c>
      <c r="I254" s="108"/>
      <c r="J254" s="108"/>
      <c r="K254" s="108"/>
      <c r="L254" s="163">
        <v>7.7600000000000002E-2</v>
      </c>
      <c r="M254" s="213">
        <v>1.4</v>
      </c>
      <c r="N254" s="213">
        <v>1.68</v>
      </c>
      <c r="O254" s="213">
        <v>2.23</v>
      </c>
      <c r="P254" s="214">
        <v>2.57</v>
      </c>
      <c r="Q254" s="122"/>
      <c r="R254" s="143"/>
      <c r="S254" s="157"/>
      <c r="T254" s="144"/>
      <c r="U254" s="143"/>
      <c r="V254" s="143"/>
      <c r="W254" s="123"/>
      <c r="X254" s="143"/>
      <c r="Y254" s="222">
        <f>51-38</f>
        <v>13</v>
      </c>
      <c r="Z254" s="218">
        <f t="shared" si="439"/>
        <v>1284680.7683891999</v>
      </c>
      <c r="AA254" s="123"/>
      <c r="AB254" s="143"/>
      <c r="AC254" s="123"/>
      <c r="AD254" s="123"/>
      <c r="AE254" s="123"/>
      <c r="AF254" s="143"/>
      <c r="AG254" s="123"/>
      <c r="AH254" s="143"/>
      <c r="AI254" s="123"/>
      <c r="AJ254" s="143">
        <f t="shared" si="411"/>
        <v>0</v>
      </c>
      <c r="AK254" s="123"/>
      <c r="AL254" s="143">
        <f t="shared" si="412"/>
        <v>0</v>
      </c>
      <c r="AM254" s="223">
        <f>18+4</f>
        <v>22</v>
      </c>
      <c r="AN254" s="218">
        <f t="shared" si="436"/>
        <v>2232963.0118857604</v>
      </c>
      <c r="AO254" s="130"/>
      <c r="AP254" s="143"/>
      <c r="AQ254" s="143">
        <v>0</v>
      </c>
      <c r="AR254" s="143">
        <v>0</v>
      </c>
      <c r="AS254" s="123"/>
      <c r="AT254" s="123"/>
      <c r="AU254" s="123"/>
      <c r="AV254" s="123"/>
      <c r="AW254" s="123"/>
      <c r="AX254" s="143"/>
      <c r="AY254" s="131"/>
      <c r="AZ254" s="143"/>
      <c r="BA254" s="123"/>
      <c r="BB254" s="143"/>
      <c r="BC254" s="123"/>
      <c r="BD254" s="146"/>
      <c r="BE254" s="123"/>
      <c r="BF254" s="143"/>
      <c r="BG254" s="123"/>
      <c r="BH254" s="143"/>
      <c r="BI254" s="123"/>
      <c r="BJ254" s="143"/>
      <c r="BK254" s="123"/>
      <c r="BL254" s="143"/>
      <c r="BM254" s="123"/>
      <c r="BN254" s="143"/>
      <c r="BO254" s="123"/>
      <c r="BP254" s="143"/>
      <c r="BQ254" s="123"/>
      <c r="BR254" s="123"/>
      <c r="BS254" s="123"/>
      <c r="BT254" s="143"/>
      <c r="BU254" s="123"/>
      <c r="BV254" s="123"/>
      <c r="BW254" s="123"/>
      <c r="BX254" s="143"/>
      <c r="BY254" s="123"/>
      <c r="BZ254" s="143"/>
      <c r="CA254" s="123"/>
      <c r="CB254" s="143"/>
      <c r="CC254" s="123"/>
      <c r="CD254" s="146"/>
      <c r="CE254" s="123"/>
      <c r="CF254" s="143"/>
      <c r="CG254" s="132"/>
      <c r="CH254" s="143"/>
      <c r="CI254" s="123"/>
      <c r="CJ254" s="127"/>
      <c r="CK254" s="123"/>
      <c r="CL254" s="123"/>
      <c r="CM254" s="130"/>
      <c r="CN254" s="143"/>
      <c r="CO254" s="123"/>
      <c r="CP254" s="143"/>
      <c r="CQ254" s="123"/>
      <c r="CR254" s="143"/>
      <c r="CS254" s="123"/>
      <c r="CT254" s="143"/>
      <c r="CU254" s="127"/>
      <c r="CV254" s="127"/>
      <c r="CW254" s="126">
        <f t="shared" si="437"/>
        <v>35</v>
      </c>
      <c r="CX254" s="126">
        <f t="shared" si="437"/>
        <v>3517643.7802749602</v>
      </c>
    </row>
    <row r="255" spans="1:102" x14ac:dyDescent="0.25">
      <c r="A255" s="91"/>
      <c r="B255" s="216" t="s">
        <v>618</v>
      </c>
      <c r="C255" s="202" t="s">
        <v>619</v>
      </c>
      <c r="D255" s="220" t="s">
        <v>620</v>
      </c>
      <c r="E255" s="95"/>
      <c r="F255" s="96">
        <v>29405</v>
      </c>
      <c r="G255" s="221">
        <v>4.63</v>
      </c>
      <c r="H255" s="107">
        <v>1</v>
      </c>
      <c r="I255" s="108"/>
      <c r="J255" s="108"/>
      <c r="K255" s="108"/>
      <c r="L255" s="163">
        <v>7.7600000000000002E-2</v>
      </c>
      <c r="M255" s="213">
        <v>1.4</v>
      </c>
      <c r="N255" s="213">
        <v>1.68</v>
      </c>
      <c r="O255" s="213">
        <v>2.23</v>
      </c>
      <c r="P255" s="214">
        <v>2.57</v>
      </c>
      <c r="Q255" s="122"/>
      <c r="R255" s="143"/>
      <c r="S255" s="157"/>
      <c r="T255" s="144"/>
      <c r="U255" s="143"/>
      <c r="V255" s="143"/>
      <c r="W255" s="123"/>
      <c r="X255" s="143"/>
      <c r="Y255" s="222">
        <f>48-35</f>
        <v>13</v>
      </c>
      <c r="Z255" s="218">
        <f t="shared" si="439"/>
        <v>1888276.8119498398</v>
      </c>
      <c r="AA255" s="123"/>
      <c r="AB255" s="143"/>
      <c r="AC255" s="123"/>
      <c r="AD255" s="123"/>
      <c r="AE255" s="123"/>
      <c r="AF255" s="143"/>
      <c r="AG255" s="123"/>
      <c r="AH255" s="143"/>
      <c r="AI255" s="123"/>
      <c r="AJ255" s="143">
        <f t="shared" si="411"/>
        <v>0</v>
      </c>
      <c r="AK255" s="123"/>
      <c r="AL255" s="143">
        <f t="shared" si="412"/>
        <v>0</v>
      </c>
      <c r="AM255" s="223">
        <f>17+3</f>
        <v>20</v>
      </c>
      <c r="AN255" s="218">
        <f t="shared" si="436"/>
        <v>2983728.3535443204</v>
      </c>
      <c r="AO255" s="130"/>
      <c r="AP255" s="143"/>
      <c r="AQ255" s="143">
        <v>0</v>
      </c>
      <c r="AR255" s="143">
        <v>0</v>
      </c>
      <c r="AS255" s="123"/>
      <c r="AT255" s="123"/>
      <c r="AU255" s="123"/>
      <c r="AV255" s="123"/>
      <c r="AW255" s="123"/>
      <c r="AX255" s="143"/>
      <c r="AY255" s="131"/>
      <c r="AZ255" s="143"/>
      <c r="BA255" s="123"/>
      <c r="BB255" s="143"/>
      <c r="BC255" s="123"/>
      <c r="BD255" s="146"/>
      <c r="BE255" s="123"/>
      <c r="BF255" s="143"/>
      <c r="BG255" s="123"/>
      <c r="BH255" s="143"/>
      <c r="BI255" s="123"/>
      <c r="BJ255" s="143"/>
      <c r="BK255" s="123"/>
      <c r="BL255" s="143"/>
      <c r="BM255" s="123"/>
      <c r="BN255" s="143"/>
      <c r="BO255" s="123"/>
      <c r="BP255" s="143"/>
      <c r="BQ255" s="123"/>
      <c r="BR255" s="123"/>
      <c r="BS255" s="123"/>
      <c r="BT255" s="143"/>
      <c r="BU255" s="123"/>
      <c r="BV255" s="123"/>
      <c r="BW255" s="123"/>
      <c r="BX255" s="143"/>
      <c r="BY255" s="123"/>
      <c r="BZ255" s="143"/>
      <c r="CA255" s="123"/>
      <c r="CB255" s="143"/>
      <c r="CC255" s="123"/>
      <c r="CD255" s="146"/>
      <c r="CE255" s="123"/>
      <c r="CF255" s="143"/>
      <c r="CG255" s="132"/>
      <c r="CH255" s="143"/>
      <c r="CI255" s="123"/>
      <c r="CJ255" s="127"/>
      <c r="CK255" s="123"/>
      <c r="CL255" s="123"/>
      <c r="CM255" s="130"/>
      <c r="CN255" s="143"/>
      <c r="CO255" s="123"/>
      <c r="CP255" s="143"/>
      <c r="CQ255" s="123"/>
      <c r="CR255" s="143"/>
      <c r="CS255" s="123"/>
      <c r="CT255" s="143"/>
      <c r="CU255" s="127"/>
      <c r="CV255" s="127"/>
      <c r="CW255" s="126">
        <f t="shared" si="437"/>
        <v>33</v>
      </c>
      <c r="CX255" s="126">
        <f t="shared" si="437"/>
        <v>4872005.1654941607</v>
      </c>
    </row>
    <row r="256" spans="1:102" ht="60" x14ac:dyDescent="0.25">
      <c r="A256" s="91"/>
      <c r="B256" s="116">
        <v>204</v>
      </c>
      <c r="C256" s="202" t="s">
        <v>621</v>
      </c>
      <c r="D256" s="148" t="s">
        <v>622</v>
      </c>
      <c r="E256" s="95">
        <v>28004</v>
      </c>
      <c r="F256" s="96">
        <v>29405</v>
      </c>
      <c r="G256" s="149">
        <v>4.49</v>
      </c>
      <c r="H256" s="107">
        <v>1</v>
      </c>
      <c r="I256" s="108"/>
      <c r="J256" s="108"/>
      <c r="K256" s="108"/>
      <c r="L256" s="163">
        <v>6.0199999999999997E-2</v>
      </c>
      <c r="M256" s="120">
        <v>1.4</v>
      </c>
      <c r="N256" s="120">
        <v>1.68</v>
      </c>
      <c r="O256" s="120">
        <v>2.23</v>
      </c>
      <c r="P256" s="121">
        <v>2.57</v>
      </c>
      <c r="Q256" s="122">
        <v>0</v>
      </c>
      <c r="R256" s="143">
        <f t="shared" si="404"/>
        <v>0</v>
      </c>
      <c r="S256" s="157"/>
      <c r="T256" s="144">
        <f>(S256/12*2*$E256*$G256*((1-$L256)+$L256*$M256*$R$11*$H256))+(S256/12*10*$F256*$G256*((1-$L256)+$L256*$M256*$R$11*$H256))</f>
        <v>0</v>
      </c>
      <c r="U256" s="143"/>
      <c r="V256" s="143">
        <f t="shared" si="405"/>
        <v>0</v>
      </c>
      <c r="W256" s="123"/>
      <c r="X256" s="143">
        <f t="shared" si="406"/>
        <v>0</v>
      </c>
      <c r="Y256" s="123">
        <f>59+17</f>
        <v>76</v>
      </c>
      <c r="Z256" s="143">
        <f t="shared" si="407"/>
        <v>10480440.835790787</v>
      </c>
      <c r="AA256" s="123"/>
      <c r="AB256" s="143">
        <f t="shared" si="408"/>
        <v>0</v>
      </c>
      <c r="AC256" s="123"/>
      <c r="AD256" s="123"/>
      <c r="AE256" s="123"/>
      <c r="AF256" s="143">
        <f t="shared" si="409"/>
        <v>0</v>
      </c>
      <c r="AG256" s="123">
        <v>0</v>
      </c>
      <c r="AH256" s="143">
        <f t="shared" si="410"/>
        <v>0</v>
      </c>
      <c r="AI256" s="123"/>
      <c r="AJ256" s="143">
        <f t="shared" si="411"/>
        <v>0</v>
      </c>
      <c r="AK256" s="123"/>
      <c r="AL256" s="143">
        <f t="shared" si="412"/>
        <v>0</v>
      </c>
      <c r="AM256" s="132">
        <f>33+11</f>
        <v>44</v>
      </c>
      <c r="AN256" s="143">
        <f t="shared" si="413"/>
        <v>6197912.0454699369</v>
      </c>
      <c r="AO256" s="130"/>
      <c r="AP256" s="143">
        <f t="shared" si="414"/>
        <v>0</v>
      </c>
      <c r="AQ256" s="143">
        <v>0</v>
      </c>
      <c r="AR256" s="143">
        <v>0</v>
      </c>
      <c r="AS256" s="123"/>
      <c r="AT256" s="123"/>
      <c r="AU256" s="123"/>
      <c r="AV256" s="123"/>
      <c r="AW256" s="123"/>
      <c r="AX256" s="143">
        <f t="shared" si="415"/>
        <v>0</v>
      </c>
      <c r="AY256" s="131">
        <v>0</v>
      </c>
      <c r="AZ256" s="143">
        <f t="shared" si="416"/>
        <v>0</v>
      </c>
      <c r="BA256" s="123"/>
      <c r="BB256" s="143">
        <f t="shared" si="417"/>
        <v>0</v>
      </c>
      <c r="BC256" s="123"/>
      <c r="BD256" s="146">
        <f t="shared" si="438"/>
        <v>0</v>
      </c>
      <c r="BE256" s="123"/>
      <c r="BF256" s="143">
        <f t="shared" si="418"/>
        <v>0</v>
      </c>
      <c r="BG256" s="123"/>
      <c r="BH256" s="143">
        <f t="shared" si="419"/>
        <v>0</v>
      </c>
      <c r="BI256" s="123"/>
      <c r="BJ256" s="143">
        <f t="shared" si="420"/>
        <v>0</v>
      </c>
      <c r="BK256" s="123"/>
      <c r="BL256" s="143">
        <f t="shared" si="421"/>
        <v>0</v>
      </c>
      <c r="BM256" s="123"/>
      <c r="BN256" s="143">
        <f t="shared" si="422"/>
        <v>0</v>
      </c>
      <c r="BO256" s="123"/>
      <c r="BP256" s="143">
        <f t="shared" si="423"/>
        <v>0</v>
      </c>
      <c r="BQ256" s="123"/>
      <c r="BR256" s="123"/>
      <c r="BS256" s="123"/>
      <c r="BT256" s="143">
        <f t="shared" si="424"/>
        <v>0</v>
      </c>
      <c r="BU256" s="123"/>
      <c r="BV256" s="123"/>
      <c r="BW256" s="123"/>
      <c r="BX256" s="143">
        <f t="shared" si="425"/>
        <v>0</v>
      </c>
      <c r="BY256" s="123"/>
      <c r="BZ256" s="143">
        <f t="shared" si="426"/>
        <v>0</v>
      </c>
      <c r="CA256" s="123"/>
      <c r="CB256" s="143">
        <f t="shared" si="427"/>
        <v>0</v>
      </c>
      <c r="CC256" s="123"/>
      <c r="CD256" s="146">
        <f t="shared" si="428"/>
        <v>0</v>
      </c>
      <c r="CE256" s="123"/>
      <c r="CF256" s="143">
        <f t="shared" si="429"/>
        <v>0</v>
      </c>
      <c r="CG256" s="132"/>
      <c r="CH256" s="143">
        <f t="shared" si="430"/>
        <v>0</v>
      </c>
      <c r="CI256" s="123"/>
      <c r="CJ256" s="127"/>
      <c r="CK256" s="123"/>
      <c r="CL256" s="123"/>
      <c r="CM256" s="130"/>
      <c r="CN256" s="143">
        <f t="shared" si="431"/>
        <v>0</v>
      </c>
      <c r="CO256" s="123"/>
      <c r="CP256" s="143">
        <f t="shared" si="432"/>
        <v>0</v>
      </c>
      <c r="CQ256" s="123"/>
      <c r="CR256" s="143">
        <f t="shared" si="433"/>
        <v>0</v>
      </c>
      <c r="CS256" s="123"/>
      <c r="CT256" s="143">
        <f t="shared" si="434"/>
        <v>0</v>
      </c>
      <c r="CU256" s="127"/>
      <c r="CV256" s="127"/>
      <c r="CW256" s="126">
        <f t="shared" si="437"/>
        <v>120</v>
      </c>
      <c r="CX256" s="126">
        <f t="shared" si="437"/>
        <v>16678352.881260723</v>
      </c>
    </row>
    <row r="257" spans="1:102" x14ac:dyDescent="0.25">
      <c r="A257" s="91"/>
      <c r="B257" s="216" t="s">
        <v>623</v>
      </c>
      <c r="C257" s="202" t="s">
        <v>624</v>
      </c>
      <c r="D257" s="148" t="s">
        <v>625</v>
      </c>
      <c r="E257" s="95"/>
      <c r="F257" s="96">
        <v>29405</v>
      </c>
      <c r="G257" s="217">
        <v>4.16</v>
      </c>
      <c r="H257" s="107">
        <v>1</v>
      </c>
      <c r="I257" s="108"/>
      <c r="J257" s="108"/>
      <c r="K257" s="108"/>
      <c r="L257" s="163">
        <v>6.0199999999999997E-2</v>
      </c>
      <c r="M257" s="120">
        <v>1.4</v>
      </c>
      <c r="N257" s="120">
        <v>1.68</v>
      </c>
      <c r="O257" s="120">
        <v>2.23</v>
      </c>
      <c r="P257" s="121">
        <v>2.57</v>
      </c>
      <c r="Q257" s="122"/>
      <c r="R257" s="143"/>
      <c r="S257" s="157"/>
      <c r="T257" s="144"/>
      <c r="U257" s="143"/>
      <c r="V257" s="143"/>
      <c r="W257" s="123"/>
      <c r="X257" s="143"/>
      <c r="Y257" s="222">
        <f>122-23</f>
        <v>99</v>
      </c>
      <c r="Z257" s="218">
        <f t="shared" si="439"/>
        <v>12738580.217700481</v>
      </c>
      <c r="AA257" s="123"/>
      <c r="AB257" s="143"/>
      <c r="AC257" s="123"/>
      <c r="AD257" s="123"/>
      <c r="AE257" s="123"/>
      <c r="AF257" s="143"/>
      <c r="AG257" s="123"/>
      <c r="AH257" s="143"/>
      <c r="AI257" s="123"/>
      <c r="AJ257" s="143">
        <f t="shared" si="411"/>
        <v>0</v>
      </c>
      <c r="AK257" s="123"/>
      <c r="AL257" s="143">
        <f t="shared" si="412"/>
        <v>0</v>
      </c>
      <c r="AM257" s="223">
        <f>64-9</f>
        <v>55</v>
      </c>
      <c r="AN257" s="218">
        <f t="shared" si="436"/>
        <v>7227817.4943603203</v>
      </c>
      <c r="AO257" s="130"/>
      <c r="AP257" s="143"/>
      <c r="AQ257" s="143">
        <v>0</v>
      </c>
      <c r="AR257" s="143">
        <v>0</v>
      </c>
      <c r="AS257" s="123"/>
      <c r="AT257" s="123"/>
      <c r="AU257" s="123"/>
      <c r="AV257" s="123"/>
      <c r="AW257" s="123"/>
      <c r="AX257" s="143"/>
      <c r="AY257" s="131"/>
      <c r="AZ257" s="143"/>
      <c r="BA257" s="123"/>
      <c r="BB257" s="143"/>
      <c r="BC257" s="123"/>
      <c r="BD257" s="146"/>
      <c r="BE257" s="123"/>
      <c r="BF257" s="143"/>
      <c r="BG257" s="123"/>
      <c r="BH257" s="143"/>
      <c r="BI257" s="123"/>
      <c r="BJ257" s="143"/>
      <c r="BK257" s="123"/>
      <c r="BL257" s="143"/>
      <c r="BM257" s="123"/>
      <c r="BN257" s="143"/>
      <c r="BO257" s="123"/>
      <c r="BP257" s="143"/>
      <c r="BQ257" s="123"/>
      <c r="BR257" s="123"/>
      <c r="BS257" s="123"/>
      <c r="BT257" s="143"/>
      <c r="BU257" s="123"/>
      <c r="BV257" s="123"/>
      <c r="BW257" s="123"/>
      <c r="BX257" s="143"/>
      <c r="BY257" s="123"/>
      <c r="BZ257" s="143"/>
      <c r="CA257" s="123"/>
      <c r="CB257" s="143"/>
      <c r="CC257" s="123"/>
      <c r="CD257" s="146"/>
      <c r="CE257" s="123"/>
      <c r="CF257" s="143"/>
      <c r="CG257" s="132"/>
      <c r="CH257" s="143"/>
      <c r="CI257" s="123"/>
      <c r="CJ257" s="127"/>
      <c r="CK257" s="123"/>
      <c r="CL257" s="123"/>
      <c r="CM257" s="130"/>
      <c r="CN257" s="143"/>
      <c r="CO257" s="123"/>
      <c r="CP257" s="143"/>
      <c r="CQ257" s="123"/>
      <c r="CR257" s="143"/>
      <c r="CS257" s="123"/>
      <c r="CT257" s="143"/>
      <c r="CU257" s="127"/>
      <c r="CV257" s="127"/>
      <c r="CW257" s="126">
        <f t="shared" si="437"/>
        <v>154</v>
      </c>
      <c r="CX257" s="126">
        <f t="shared" si="437"/>
        <v>19966397.712060802</v>
      </c>
    </row>
    <row r="258" spans="1:102" x14ac:dyDescent="0.25">
      <c r="A258" s="91"/>
      <c r="B258" s="216" t="s">
        <v>626</v>
      </c>
      <c r="C258" s="202" t="s">
        <v>627</v>
      </c>
      <c r="D258" s="148" t="s">
        <v>628</v>
      </c>
      <c r="E258" s="95"/>
      <c r="F258" s="96">
        <v>29405</v>
      </c>
      <c r="G258" s="217">
        <v>5.15</v>
      </c>
      <c r="H258" s="107">
        <v>1</v>
      </c>
      <c r="I258" s="108"/>
      <c r="J258" s="108"/>
      <c r="K258" s="108"/>
      <c r="L258" s="163">
        <v>6.0199999999999997E-2</v>
      </c>
      <c r="M258" s="120">
        <v>1.4</v>
      </c>
      <c r="N258" s="120">
        <v>1.68</v>
      </c>
      <c r="O258" s="120">
        <v>2.23</v>
      </c>
      <c r="P258" s="121">
        <v>2.57</v>
      </c>
      <c r="Q258" s="122"/>
      <c r="R258" s="143"/>
      <c r="S258" s="157"/>
      <c r="T258" s="144"/>
      <c r="U258" s="143"/>
      <c r="V258" s="143"/>
      <c r="W258" s="123"/>
      <c r="X258" s="143"/>
      <c r="Y258" s="222">
        <f>61-12</f>
        <v>49</v>
      </c>
      <c r="Z258" s="218">
        <f t="shared" si="439"/>
        <v>7805411.6111517018</v>
      </c>
      <c r="AA258" s="123"/>
      <c r="AB258" s="143"/>
      <c r="AC258" s="123"/>
      <c r="AD258" s="123"/>
      <c r="AE258" s="123"/>
      <c r="AF258" s="143"/>
      <c r="AG258" s="123"/>
      <c r="AH258" s="143"/>
      <c r="AI258" s="123"/>
      <c r="AJ258" s="143">
        <f t="shared" si="411"/>
        <v>0</v>
      </c>
      <c r="AK258" s="123"/>
      <c r="AL258" s="143">
        <f t="shared" si="412"/>
        <v>0</v>
      </c>
      <c r="AM258" s="223">
        <f>32-4</f>
        <v>28</v>
      </c>
      <c r="AN258" s="218">
        <f t="shared" si="436"/>
        <v>4555294.06768688</v>
      </c>
      <c r="AO258" s="130"/>
      <c r="AP258" s="143"/>
      <c r="AQ258" s="143">
        <v>0</v>
      </c>
      <c r="AR258" s="143">
        <v>0</v>
      </c>
      <c r="AS258" s="123"/>
      <c r="AT258" s="123"/>
      <c r="AU258" s="123"/>
      <c r="AV258" s="123"/>
      <c r="AW258" s="123"/>
      <c r="AX258" s="143"/>
      <c r="AY258" s="131"/>
      <c r="AZ258" s="143"/>
      <c r="BA258" s="123"/>
      <c r="BB258" s="143"/>
      <c r="BC258" s="123"/>
      <c r="BD258" s="146"/>
      <c r="BE258" s="123"/>
      <c r="BF258" s="143"/>
      <c r="BG258" s="123"/>
      <c r="BH258" s="143"/>
      <c r="BI258" s="123"/>
      <c r="BJ258" s="143"/>
      <c r="BK258" s="123"/>
      <c r="BL258" s="143"/>
      <c r="BM258" s="123"/>
      <c r="BN258" s="143"/>
      <c r="BO258" s="123"/>
      <c r="BP258" s="143"/>
      <c r="BQ258" s="123"/>
      <c r="BR258" s="123"/>
      <c r="BS258" s="123"/>
      <c r="BT258" s="143"/>
      <c r="BU258" s="123"/>
      <c r="BV258" s="123"/>
      <c r="BW258" s="123"/>
      <c r="BX258" s="143"/>
      <c r="BY258" s="123"/>
      <c r="BZ258" s="143"/>
      <c r="CA258" s="123"/>
      <c r="CB258" s="143"/>
      <c r="CC258" s="123"/>
      <c r="CD258" s="146"/>
      <c r="CE258" s="123"/>
      <c r="CF258" s="143"/>
      <c r="CG258" s="132"/>
      <c r="CH258" s="143"/>
      <c r="CI258" s="123"/>
      <c r="CJ258" s="127"/>
      <c r="CK258" s="123"/>
      <c r="CL258" s="123"/>
      <c r="CM258" s="130"/>
      <c r="CN258" s="143"/>
      <c r="CO258" s="123"/>
      <c r="CP258" s="143"/>
      <c r="CQ258" s="123"/>
      <c r="CR258" s="143"/>
      <c r="CS258" s="123"/>
      <c r="CT258" s="143"/>
      <c r="CU258" s="127"/>
      <c r="CV258" s="127"/>
      <c r="CW258" s="126">
        <f t="shared" si="437"/>
        <v>77</v>
      </c>
      <c r="CX258" s="126">
        <f t="shared" si="437"/>
        <v>12360705.678838581</v>
      </c>
    </row>
    <row r="259" spans="1:102" ht="60" x14ac:dyDescent="0.25">
      <c r="A259" s="91"/>
      <c r="B259" s="116">
        <v>205</v>
      </c>
      <c r="C259" s="202" t="s">
        <v>629</v>
      </c>
      <c r="D259" s="148" t="s">
        <v>630</v>
      </c>
      <c r="E259" s="95">
        <v>28004</v>
      </c>
      <c r="F259" s="96">
        <v>29405</v>
      </c>
      <c r="G259" s="149">
        <v>4.93</v>
      </c>
      <c r="H259" s="107">
        <v>1</v>
      </c>
      <c r="I259" s="108"/>
      <c r="J259" s="108"/>
      <c r="K259" s="108"/>
      <c r="L259" s="163">
        <v>7.0800000000000002E-2</v>
      </c>
      <c r="M259" s="120">
        <v>1.4</v>
      </c>
      <c r="N259" s="120">
        <v>1.68</v>
      </c>
      <c r="O259" s="120">
        <v>2.23</v>
      </c>
      <c r="P259" s="121">
        <v>2.57</v>
      </c>
      <c r="Q259" s="122">
        <v>0</v>
      </c>
      <c r="R259" s="143">
        <f t="shared" si="404"/>
        <v>0</v>
      </c>
      <c r="S259" s="157"/>
      <c r="T259" s="144">
        <f>(S259/12*2*$E259*$G259*((1-$L259)+$L259*$M259*$R$11*$H259))+(S259/12*10*$F259*$G259*((1-$L259)+$L259*$M259*$R$11*$H259))</f>
        <v>0</v>
      </c>
      <c r="U259" s="143"/>
      <c r="V259" s="143">
        <f t="shared" si="405"/>
        <v>0</v>
      </c>
      <c r="W259" s="123"/>
      <c r="X259" s="143">
        <f t="shared" si="406"/>
        <v>0</v>
      </c>
      <c r="Y259" s="123">
        <f>178-114</f>
        <v>64</v>
      </c>
      <c r="Z259" s="143">
        <f t="shared" si="407"/>
        <v>9776137.5612070393</v>
      </c>
      <c r="AA259" s="123"/>
      <c r="AB259" s="143">
        <f t="shared" si="408"/>
        <v>0</v>
      </c>
      <c r="AC259" s="123"/>
      <c r="AD259" s="123"/>
      <c r="AE259" s="123"/>
      <c r="AF259" s="143">
        <f t="shared" si="409"/>
        <v>0</v>
      </c>
      <c r="AG259" s="123">
        <v>0</v>
      </c>
      <c r="AH259" s="143">
        <f t="shared" si="410"/>
        <v>0</v>
      </c>
      <c r="AI259" s="123"/>
      <c r="AJ259" s="143">
        <f t="shared" si="411"/>
        <v>0</v>
      </c>
      <c r="AK259" s="123"/>
      <c r="AL259" s="143">
        <f t="shared" si="412"/>
        <v>0</v>
      </c>
      <c r="AM259" s="132">
        <v>96</v>
      </c>
      <c r="AN259" s="143">
        <f t="shared" si="413"/>
        <v>15031287.137455873</v>
      </c>
      <c r="AO259" s="130"/>
      <c r="AP259" s="143">
        <f t="shared" si="414"/>
        <v>0</v>
      </c>
      <c r="AQ259" s="143">
        <v>0</v>
      </c>
      <c r="AR259" s="143">
        <v>0</v>
      </c>
      <c r="AS259" s="123"/>
      <c r="AT259" s="123"/>
      <c r="AU259" s="123"/>
      <c r="AV259" s="123"/>
      <c r="AW259" s="123"/>
      <c r="AX259" s="143">
        <f t="shared" si="415"/>
        <v>0</v>
      </c>
      <c r="AY259" s="131">
        <v>0</v>
      </c>
      <c r="AZ259" s="143">
        <f t="shared" si="416"/>
        <v>0</v>
      </c>
      <c r="BA259" s="123"/>
      <c r="BB259" s="143">
        <f t="shared" si="417"/>
        <v>0</v>
      </c>
      <c r="BC259" s="123"/>
      <c r="BD259" s="146">
        <f t="shared" si="438"/>
        <v>0</v>
      </c>
      <c r="BE259" s="123"/>
      <c r="BF259" s="143">
        <f t="shared" si="418"/>
        <v>0</v>
      </c>
      <c r="BG259" s="123"/>
      <c r="BH259" s="143">
        <f t="shared" si="419"/>
        <v>0</v>
      </c>
      <c r="BI259" s="123"/>
      <c r="BJ259" s="143">
        <f t="shared" si="420"/>
        <v>0</v>
      </c>
      <c r="BK259" s="123"/>
      <c r="BL259" s="143">
        <f t="shared" si="421"/>
        <v>0</v>
      </c>
      <c r="BM259" s="123"/>
      <c r="BN259" s="143">
        <f t="shared" si="422"/>
        <v>0</v>
      </c>
      <c r="BO259" s="123"/>
      <c r="BP259" s="143">
        <f t="shared" si="423"/>
        <v>0</v>
      </c>
      <c r="BQ259" s="123"/>
      <c r="BR259" s="123"/>
      <c r="BS259" s="123"/>
      <c r="BT259" s="143">
        <f t="shared" si="424"/>
        <v>0</v>
      </c>
      <c r="BU259" s="123"/>
      <c r="BV259" s="123"/>
      <c r="BW259" s="123"/>
      <c r="BX259" s="143">
        <f t="shared" si="425"/>
        <v>0</v>
      </c>
      <c r="BY259" s="123"/>
      <c r="BZ259" s="143">
        <f t="shared" si="426"/>
        <v>0</v>
      </c>
      <c r="CA259" s="123"/>
      <c r="CB259" s="143">
        <f t="shared" si="427"/>
        <v>0</v>
      </c>
      <c r="CC259" s="123"/>
      <c r="CD259" s="146">
        <f t="shared" si="428"/>
        <v>0</v>
      </c>
      <c r="CE259" s="123"/>
      <c r="CF259" s="143">
        <f t="shared" si="429"/>
        <v>0</v>
      </c>
      <c r="CG259" s="132"/>
      <c r="CH259" s="143">
        <f t="shared" si="430"/>
        <v>0</v>
      </c>
      <c r="CI259" s="123"/>
      <c r="CJ259" s="127"/>
      <c r="CK259" s="123"/>
      <c r="CL259" s="123"/>
      <c r="CM259" s="130"/>
      <c r="CN259" s="143">
        <f t="shared" si="431"/>
        <v>0</v>
      </c>
      <c r="CO259" s="123"/>
      <c r="CP259" s="143">
        <f t="shared" si="432"/>
        <v>0</v>
      </c>
      <c r="CQ259" s="123"/>
      <c r="CR259" s="143">
        <f t="shared" si="433"/>
        <v>0</v>
      </c>
      <c r="CS259" s="123"/>
      <c r="CT259" s="143">
        <f t="shared" si="434"/>
        <v>0</v>
      </c>
      <c r="CU259" s="127"/>
      <c r="CV259" s="127"/>
      <c r="CW259" s="126">
        <f t="shared" si="437"/>
        <v>160</v>
      </c>
      <c r="CX259" s="126">
        <f t="shared" si="437"/>
        <v>24807424.698662914</v>
      </c>
    </row>
    <row r="260" spans="1:102" ht="60" x14ac:dyDescent="0.25">
      <c r="A260" s="91"/>
      <c r="B260" s="116">
        <v>206</v>
      </c>
      <c r="C260" s="202" t="s">
        <v>631</v>
      </c>
      <c r="D260" s="148" t="s">
        <v>632</v>
      </c>
      <c r="E260" s="95">
        <v>28004</v>
      </c>
      <c r="F260" s="96">
        <v>29405</v>
      </c>
      <c r="G260" s="149">
        <v>6.7</v>
      </c>
      <c r="H260" s="107">
        <v>1</v>
      </c>
      <c r="I260" s="108"/>
      <c r="J260" s="108"/>
      <c r="K260" s="108"/>
      <c r="L260" s="163">
        <v>3.5400000000000001E-2</v>
      </c>
      <c r="M260" s="120">
        <v>1.4</v>
      </c>
      <c r="N260" s="120">
        <v>1.68</v>
      </c>
      <c r="O260" s="120">
        <v>2.23</v>
      </c>
      <c r="P260" s="121">
        <v>2.57</v>
      </c>
      <c r="Q260" s="122">
        <v>0</v>
      </c>
      <c r="R260" s="143">
        <f t="shared" si="404"/>
        <v>0</v>
      </c>
      <c r="S260" s="157"/>
      <c r="T260" s="144">
        <f>(S260/12*2*$E260*$G260*((1-$L260)+$L260*$M260*$R$11*$H260))+(S260/12*10*$F260*$G260*((1-$L260)+$L260*$M260*$R$11*$H260))</f>
        <v>0</v>
      </c>
      <c r="U260" s="143"/>
      <c r="V260" s="143">
        <f t="shared" si="405"/>
        <v>0</v>
      </c>
      <c r="W260" s="123"/>
      <c r="X260" s="143">
        <f t="shared" si="406"/>
        <v>0</v>
      </c>
      <c r="Y260" s="123">
        <v>26</v>
      </c>
      <c r="Z260" s="143">
        <f t="shared" si="407"/>
        <v>5239562.2366541997</v>
      </c>
      <c r="AA260" s="123"/>
      <c r="AB260" s="143">
        <f t="shared" si="408"/>
        <v>0</v>
      </c>
      <c r="AC260" s="123"/>
      <c r="AD260" s="123"/>
      <c r="AE260" s="123"/>
      <c r="AF260" s="143">
        <f t="shared" si="409"/>
        <v>0</v>
      </c>
      <c r="AG260" s="123">
        <v>0</v>
      </c>
      <c r="AH260" s="143">
        <f t="shared" si="410"/>
        <v>0</v>
      </c>
      <c r="AI260" s="123"/>
      <c r="AJ260" s="143">
        <f t="shared" si="411"/>
        <v>0</v>
      </c>
      <c r="AK260" s="123"/>
      <c r="AL260" s="143">
        <f t="shared" si="412"/>
        <v>0</v>
      </c>
      <c r="AM260" s="129">
        <v>7</v>
      </c>
      <c r="AN260" s="143">
        <f t="shared" si="413"/>
        <v>1428839.43060628</v>
      </c>
      <c r="AO260" s="130"/>
      <c r="AP260" s="143">
        <f t="shared" si="414"/>
        <v>0</v>
      </c>
      <c r="AQ260" s="143">
        <v>0</v>
      </c>
      <c r="AR260" s="143">
        <v>0</v>
      </c>
      <c r="AS260" s="123"/>
      <c r="AT260" s="123"/>
      <c r="AU260" s="123"/>
      <c r="AV260" s="123"/>
      <c r="AW260" s="123"/>
      <c r="AX260" s="143">
        <f t="shared" si="415"/>
        <v>0</v>
      </c>
      <c r="AY260" s="131">
        <v>0</v>
      </c>
      <c r="AZ260" s="143">
        <f t="shared" si="416"/>
        <v>0</v>
      </c>
      <c r="BA260" s="123"/>
      <c r="BB260" s="143">
        <f t="shared" si="417"/>
        <v>0</v>
      </c>
      <c r="BC260" s="123"/>
      <c r="BD260" s="146">
        <f t="shared" si="438"/>
        <v>0</v>
      </c>
      <c r="BE260" s="123"/>
      <c r="BF260" s="143">
        <f t="shared" si="418"/>
        <v>0</v>
      </c>
      <c r="BG260" s="123"/>
      <c r="BH260" s="143">
        <f t="shared" si="419"/>
        <v>0</v>
      </c>
      <c r="BI260" s="123"/>
      <c r="BJ260" s="143">
        <f t="shared" si="420"/>
        <v>0</v>
      </c>
      <c r="BK260" s="123"/>
      <c r="BL260" s="143">
        <f t="shared" si="421"/>
        <v>0</v>
      </c>
      <c r="BM260" s="123"/>
      <c r="BN260" s="143">
        <f t="shared" si="422"/>
        <v>0</v>
      </c>
      <c r="BO260" s="123"/>
      <c r="BP260" s="143">
        <f t="shared" si="423"/>
        <v>0</v>
      </c>
      <c r="BQ260" s="123"/>
      <c r="BR260" s="123"/>
      <c r="BS260" s="123"/>
      <c r="BT260" s="143">
        <f t="shared" si="424"/>
        <v>0</v>
      </c>
      <c r="BU260" s="123"/>
      <c r="BV260" s="123"/>
      <c r="BW260" s="123"/>
      <c r="BX260" s="143">
        <f t="shared" si="425"/>
        <v>0</v>
      </c>
      <c r="BY260" s="123"/>
      <c r="BZ260" s="143">
        <f t="shared" si="426"/>
        <v>0</v>
      </c>
      <c r="CA260" s="123"/>
      <c r="CB260" s="143">
        <f t="shared" si="427"/>
        <v>0</v>
      </c>
      <c r="CC260" s="123"/>
      <c r="CD260" s="146">
        <f t="shared" si="428"/>
        <v>0</v>
      </c>
      <c r="CE260" s="123"/>
      <c r="CF260" s="143">
        <f t="shared" si="429"/>
        <v>0</v>
      </c>
      <c r="CG260" s="132"/>
      <c r="CH260" s="143">
        <f t="shared" si="430"/>
        <v>0</v>
      </c>
      <c r="CI260" s="123"/>
      <c r="CJ260" s="127"/>
      <c r="CK260" s="123"/>
      <c r="CL260" s="123"/>
      <c r="CM260" s="130"/>
      <c r="CN260" s="143">
        <f t="shared" si="431"/>
        <v>0</v>
      </c>
      <c r="CO260" s="123"/>
      <c r="CP260" s="143">
        <f t="shared" si="432"/>
        <v>0</v>
      </c>
      <c r="CQ260" s="123"/>
      <c r="CR260" s="143">
        <f t="shared" si="433"/>
        <v>0</v>
      </c>
      <c r="CS260" s="123"/>
      <c r="CT260" s="143">
        <f t="shared" si="434"/>
        <v>0</v>
      </c>
      <c r="CU260" s="127"/>
      <c r="CV260" s="127"/>
      <c r="CW260" s="126">
        <f t="shared" si="437"/>
        <v>33</v>
      </c>
      <c r="CX260" s="126">
        <f t="shared" si="437"/>
        <v>6668401.6672604792</v>
      </c>
    </row>
    <row r="261" spans="1:102" ht="60" x14ac:dyDescent="0.25">
      <c r="A261" s="91"/>
      <c r="B261" s="116">
        <v>207</v>
      </c>
      <c r="C261" s="202" t="s">
        <v>633</v>
      </c>
      <c r="D261" s="148" t="s">
        <v>634</v>
      </c>
      <c r="E261" s="95">
        <v>28004</v>
      </c>
      <c r="F261" s="96">
        <v>29405</v>
      </c>
      <c r="G261" s="149">
        <v>7.62</v>
      </c>
      <c r="H261" s="107">
        <v>1</v>
      </c>
      <c r="I261" s="108"/>
      <c r="J261" s="108"/>
      <c r="K261" s="108"/>
      <c r="L261" s="163">
        <v>3.1E-2</v>
      </c>
      <c r="M261" s="120">
        <v>1.4</v>
      </c>
      <c r="N261" s="120">
        <v>1.68</v>
      </c>
      <c r="O261" s="120">
        <v>2.23</v>
      </c>
      <c r="P261" s="121">
        <v>2.57</v>
      </c>
      <c r="Q261" s="122">
        <v>0</v>
      </c>
      <c r="R261" s="143">
        <f t="shared" si="404"/>
        <v>0</v>
      </c>
      <c r="S261" s="157"/>
      <c r="T261" s="144">
        <f>(S261/12*2*$E261*$G261*((1-$L261)+$L261*$M261*$R$11*$H261))+(S261/12*10*$F261*$G261*((1-$L261)+$L261*$M261*$R$11*$H261))</f>
        <v>0</v>
      </c>
      <c r="U261" s="143"/>
      <c r="V261" s="143">
        <f t="shared" si="405"/>
        <v>0</v>
      </c>
      <c r="W261" s="123"/>
      <c r="X261" s="143">
        <f t="shared" si="406"/>
        <v>0</v>
      </c>
      <c r="Y261" s="123">
        <f>220-92</f>
        <v>128</v>
      </c>
      <c r="Z261" s="143">
        <f t="shared" si="407"/>
        <v>29226857.649190392</v>
      </c>
      <c r="AA261" s="123"/>
      <c r="AB261" s="143">
        <f t="shared" si="408"/>
        <v>0</v>
      </c>
      <c r="AC261" s="123"/>
      <c r="AD261" s="123"/>
      <c r="AE261" s="123"/>
      <c r="AF261" s="143">
        <f t="shared" si="409"/>
        <v>0</v>
      </c>
      <c r="AG261" s="123">
        <v>0</v>
      </c>
      <c r="AH261" s="143">
        <f t="shared" si="410"/>
        <v>0</v>
      </c>
      <c r="AI261" s="123"/>
      <c r="AJ261" s="143">
        <f t="shared" si="411"/>
        <v>0</v>
      </c>
      <c r="AK261" s="123"/>
      <c r="AL261" s="143">
        <f t="shared" si="412"/>
        <v>0</v>
      </c>
      <c r="AM261" s="129">
        <v>207</v>
      </c>
      <c r="AN261" s="143">
        <f t="shared" si="413"/>
        <v>47800978.781082116</v>
      </c>
      <c r="AO261" s="130"/>
      <c r="AP261" s="143">
        <f t="shared" si="414"/>
        <v>0</v>
      </c>
      <c r="AQ261" s="143">
        <v>0</v>
      </c>
      <c r="AR261" s="143">
        <v>0</v>
      </c>
      <c r="AS261" s="123"/>
      <c r="AT261" s="123"/>
      <c r="AU261" s="123"/>
      <c r="AV261" s="123"/>
      <c r="AW261" s="123"/>
      <c r="AX261" s="143">
        <f t="shared" si="415"/>
        <v>0</v>
      </c>
      <c r="AY261" s="131">
        <v>0</v>
      </c>
      <c r="AZ261" s="143">
        <f t="shared" si="416"/>
        <v>0</v>
      </c>
      <c r="BA261" s="123"/>
      <c r="BB261" s="143">
        <f t="shared" si="417"/>
        <v>0</v>
      </c>
      <c r="BC261" s="123"/>
      <c r="BD261" s="146">
        <f t="shared" si="438"/>
        <v>0</v>
      </c>
      <c r="BE261" s="123"/>
      <c r="BF261" s="143">
        <f t="shared" si="418"/>
        <v>0</v>
      </c>
      <c r="BG261" s="123"/>
      <c r="BH261" s="143">
        <f t="shared" si="419"/>
        <v>0</v>
      </c>
      <c r="BI261" s="123"/>
      <c r="BJ261" s="143">
        <f t="shared" si="420"/>
        <v>0</v>
      </c>
      <c r="BK261" s="123"/>
      <c r="BL261" s="143">
        <f t="shared" si="421"/>
        <v>0</v>
      </c>
      <c r="BM261" s="123"/>
      <c r="BN261" s="143">
        <f t="shared" si="422"/>
        <v>0</v>
      </c>
      <c r="BO261" s="123"/>
      <c r="BP261" s="143">
        <f t="shared" si="423"/>
        <v>0</v>
      </c>
      <c r="BQ261" s="123"/>
      <c r="BR261" s="123"/>
      <c r="BS261" s="123"/>
      <c r="BT261" s="143">
        <f t="shared" si="424"/>
        <v>0</v>
      </c>
      <c r="BU261" s="123"/>
      <c r="BV261" s="123"/>
      <c r="BW261" s="123"/>
      <c r="BX261" s="143">
        <f t="shared" si="425"/>
        <v>0</v>
      </c>
      <c r="BY261" s="123"/>
      <c r="BZ261" s="143">
        <f t="shared" si="426"/>
        <v>0</v>
      </c>
      <c r="CA261" s="123"/>
      <c r="CB261" s="143">
        <f t="shared" si="427"/>
        <v>0</v>
      </c>
      <c r="CC261" s="123"/>
      <c r="CD261" s="146">
        <f t="shared" si="428"/>
        <v>0</v>
      </c>
      <c r="CE261" s="123"/>
      <c r="CF261" s="143">
        <f t="shared" si="429"/>
        <v>0</v>
      </c>
      <c r="CG261" s="132"/>
      <c r="CH261" s="143">
        <f t="shared" si="430"/>
        <v>0</v>
      </c>
      <c r="CI261" s="123"/>
      <c r="CJ261" s="127"/>
      <c r="CK261" s="123"/>
      <c r="CL261" s="123"/>
      <c r="CM261" s="130"/>
      <c r="CN261" s="143">
        <f t="shared" si="431"/>
        <v>0</v>
      </c>
      <c r="CO261" s="123"/>
      <c r="CP261" s="143">
        <f t="shared" si="432"/>
        <v>0</v>
      </c>
      <c r="CQ261" s="123"/>
      <c r="CR261" s="143">
        <f t="shared" si="433"/>
        <v>0</v>
      </c>
      <c r="CS261" s="123"/>
      <c r="CT261" s="143">
        <f t="shared" si="434"/>
        <v>0</v>
      </c>
      <c r="CU261" s="127"/>
      <c r="CV261" s="127"/>
      <c r="CW261" s="126">
        <f t="shared" si="437"/>
        <v>335</v>
      </c>
      <c r="CX261" s="126">
        <f t="shared" si="437"/>
        <v>77027836.430272505</v>
      </c>
    </row>
    <row r="262" spans="1:102" ht="60" x14ac:dyDescent="0.25">
      <c r="A262" s="91"/>
      <c r="B262" s="116">
        <v>208</v>
      </c>
      <c r="C262" s="202" t="s">
        <v>635</v>
      </c>
      <c r="D262" s="148" t="s">
        <v>636</v>
      </c>
      <c r="E262" s="95">
        <v>28004</v>
      </c>
      <c r="F262" s="96">
        <v>29405</v>
      </c>
      <c r="G262" s="149">
        <v>8.74</v>
      </c>
      <c r="H262" s="107">
        <v>1</v>
      </c>
      <c r="I262" s="108"/>
      <c r="J262" s="108"/>
      <c r="K262" s="108"/>
      <c r="L262" s="163">
        <v>2.8000000000000001E-2</v>
      </c>
      <c r="M262" s="120">
        <v>1.4</v>
      </c>
      <c r="N262" s="120">
        <v>1.68</v>
      </c>
      <c r="O262" s="120">
        <v>2.23</v>
      </c>
      <c r="P262" s="121">
        <v>2.57</v>
      </c>
      <c r="Q262" s="122">
        <v>0</v>
      </c>
      <c r="R262" s="143">
        <f t="shared" si="404"/>
        <v>0</v>
      </c>
      <c r="S262" s="157"/>
      <c r="T262" s="144">
        <f>(S262/12*2*$E262*$G262*((1-$L262)+$L262*$M262*$R$11*$H262))+(S262/12*10*$F262*$G262*((1-$L262)+$L262*$M262*$R$11*$H262))</f>
        <v>0</v>
      </c>
      <c r="U262" s="143"/>
      <c r="V262" s="143">
        <f t="shared" si="405"/>
        <v>0</v>
      </c>
      <c r="W262" s="123"/>
      <c r="X262" s="143">
        <f t="shared" si="406"/>
        <v>0</v>
      </c>
      <c r="Y262" s="123">
        <v>8</v>
      </c>
      <c r="Z262" s="143">
        <f t="shared" si="407"/>
        <v>2089796.2628277331</v>
      </c>
      <c r="AA262" s="123"/>
      <c r="AB262" s="143">
        <f t="shared" si="408"/>
        <v>0</v>
      </c>
      <c r="AC262" s="123"/>
      <c r="AD262" s="123"/>
      <c r="AE262" s="123"/>
      <c r="AF262" s="143">
        <f t="shared" si="409"/>
        <v>0</v>
      </c>
      <c r="AG262" s="123">
        <v>0</v>
      </c>
      <c r="AH262" s="143">
        <f t="shared" si="410"/>
        <v>0</v>
      </c>
      <c r="AI262" s="123"/>
      <c r="AJ262" s="143">
        <f t="shared" si="411"/>
        <v>0</v>
      </c>
      <c r="AK262" s="123"/>
      <c r="AL262" s="143">
        <f t="shared" si="412"/>
        <v>0</v>
      </c>
      <c r="AM262" s="129">
        <f>34+14</f>
        <v>48</v>
      </c>
      <c r="AN262" s="143">
        <f t="shared" si="413"/>
        <v>12667460.511367679</v>
      </c>
      <c r="AO262" s="130"/>
      <c r="AP262" s="143">
        <f t="shared" si="414"/>
        <v>0</v>
      </c>
      <c r="AQ262" s="143">
        <v>0</v>
      </c>
      <c r="AR262" s="143">
        <v>0</v>
      </c>
      <c r="AS262" s="123"/>
      <c r="AT262" s="123"/>
      <c r="AU262" s="123"/>
      <c r="AV262" s="123"/>
      <c r="AW262" s="123"/>
      <c r="AX262" s="143">
        <f t="shared" si="415"/>
        <v>0</v>
      </c>
      <c r="AY262" s="131">
        <v>0</v>
      </c>
      <c r="AZ262" s="143">
        <f t="shared" si="416"/>
        <v>0</v>
      </c>
      <c r="BA262" s="123"/>
      <c r="BB262" s="143">
        <f t="shared" si="417"/>
        <v>0</v>
      </c>
      <c r="BC262" s="123"/>
      <c r="BD262" s="146">
        <f t="shared" si="438"/>
        <v>0</v>
      </c>
      <c r="BE262" s="123"/>
      <c r="BF262" s="143">
        <f t="shared" si="418"/>
        <v>0</v>
      </c>
      <c r="BG262" s="123"/>
      <c r="BH262" s="143">
        <f t="shared" si="419"/>
        <v>0</v>
      </c>
      <c r="BI262" s="123"/>
      <c r="BJ262" s="143">
        <f t="shared" si="420"/>
        <v>0</v>
      </c>
      <c r="BK262" s="123"/>
      <c r="BL262" s="143">
        <f t="shared" si="421"/>
        <v>0</v>
      </c>
      <c r="BM262" s="123"/>
      <c r="BN262" s="143">
        <f t="shared" si="422"/>
        <v>0</v>
      </c>
      <c r="BO262" s="123"/>
      <c r="BP262" s="143">
        <f t="shared" si="423"/>
        <v>0</v>
      </c>
      <c r="BQ262" s="123"/>
      <c r="BR262" s="123"/>
      <c r="BS262" s="123"/>
      <c r="BT262" s="143">
        <f t="shared" si="424"/>
        <v>0</v>
      </c>
      <c r="BU262" s="123"/>
      <c r="BV262" s="123"/>
      <c r="BW262" s="123"/>
      <c r="BX262" s="143">
        <f t="shared" si="425"/>
        <v>0</v>
      </c>
      <c r="BY262" s="123"/>
      <c r="BZ262" s="143">
        <f t="shared" si="426"/>
        <v>0</v>
      </c>
      <c r="CA262" s="123"/>
      <c r="CB262" s="143">
        <f t="shared" si="427"/>
        <v>0</v>
      </c>
      <c r="CC262" s="123"/>
      <c r="CD262" s="146">
        <f t="shared" si="428"/>
        <v>0</v>
      </c>
      <c r="CE262" s="123"/>
      <c r="CF262" s="143">
        <f t="shared" si="429"/>
        <v>0</v>
      </c>
      <c r="CG262" s="132"/>
      <c r="CH262" s="143">
        <f t="shared" si="430"/>
        <v>0</v>
      </c>
      <c r="CI262" s="123"/>
      <c r="CJ262" s="127"/>
      <c r="CK262" s="123"/>
      <c r="CL262" s="123"/>
      <c r="CM262" s="130"/>
      <c r="CN262" s="143">
        <f t="shared" si="431"/>
        <v>0</v>
      </c>
      <c r="CO262" s="123"/>
      <c r="CP262" s="143">
        <f t="shared" si="432"/>
        <v>0</v>
      </c>
      <c r="CQ262" s="123"/>
      <c r="CR262" s="143">
        <f t="shared" si="433"/>
        <v>0</v>
      </c>
      <c r="CS262" s="123"/>
      <c r="CT262" s="143">
        <f t="shared" si="434"/>
        <v>0</v>
      </c>
      <c r="CU262" s="127"/>
      <c r="CV262" s="127"/>
      <c r="CW262" s="126">
        <f t="shared" si="437"/>
        <v>56</v>
      </c>
      <c r="CX262" s="126">
        <f t="shared" si="437"/>
        <v>14757256.774195412</v>
      </c>
    </row>
    <row r="263" spans="1:102" x14ac:dyDescent="0.25">
      <c r="A263" s="91"/>
      <c r="B263" s="216" t="s">
        <v>637</v>
      </c>
      <c r="C263" s="202" t="s">
        <v>638</v>
      </c>
      <c r="D263" s="220" t="s">
        <v>639</v>
      </c>
      <c r="E263" s="95"/>
      <c r="F263" s="96">
        <v>29405</v>
      </c>
      <c r="G263" s="221">
        <v>8.0399999999999991</v>
      </c>
      <c r="H263" s="107">
        <v>1</v>
      </c>
      <c r="I263" s="108"/>
      <c r="J263" s="108"/>
      <c r="K263" s="108"/>
      <c r="L263" s="163">
        <v>2.8000000000000001E-2</v>
      </c>
      <c r="M263" s="213">
        <v>1.4</v>
      </c>
      <c r="N263" s="213">
        <v>1.68</v>
      </c>
      <c r="O263" s="213">
        <v>2.23</v>
      </c>
      <c r="P263" s="214">
        <v>2.57</v>
      </c>
      <c r="Q263" s="122"/>
      <c r="R263" s="143"/>
      <c r="S263" s="157"/>
      <c r="T263" s="144"/>
      <c r="U263" s="143"/>
      <c r="V263" s="143"/>
      <c r="W263" s="123"/>
      <c r="X263" s="143"/>
      <c r="Y263" s="222">
        <f>41-30</f>
        <v>11</v>
      </c>
      <c r="Z263" s="218">
        <f t="shared" ref="Z263:Z264" si="440">Y263*$F263*$G263*((1-$L263)+$L263*$M263*$Z$12*$H263)</f>
        <v>2663345.7554351995</v>
      </c>
      <c r="AA263" s="123"/>
      <c r="AB263" s="143"/>
      <c r="AC263" s="123"/>
      <c r="AD263" s="123"/>
      <c r="AE263" s="123"/>
      <c r="AF263" s="143"/>
      <c r="AG263" s="123"/>
      <c r="AH263" s="143"/>
      <c r="AI263" s="123"/>
      <c r="AJ263" s="143">
        <f t="shared" si="411"/>
        <v>0</v>
      </c>
      <c r="AK263" s="123"/>
      <c r="AL263" s="143">
        <f t="shared" si="412"/>
        <v>0</v>
      </c>
      <c r="AM263" s="219">
        <f>45-9</f>
        <v>36</v>
      </c>
      <c r="AN263" s="218">
        <f t="shared" ref="AN263:AN264" si="441">(AM263*$F263*$G263*((1-$L263)+$L263*$N263*$AN$12*H263))</f>
        <v>8805150.0145382397</v>
      </c>
      <c r="AO263" s="130"/>
      <c r="AP263" s="143"/>
      <c r="AQ263" s="143">
        <v>0</v>
      </c>
      <c r="AR263" s="143">
        <v>0</v>
      </c>
      <c r="AS263" s="123"/>
      <c r="AT263" s="123"/>
      <c r="AU263" s="123"/>
      <c r="AV263" s="123"/>
      <c r="AW263" s="123"/>
      <c r="AX263" s="143"/>
      <c r="AY263" s="131"/>
      <c r="AZ263" s="143"/>
      <c r="BA263" s="123"/>
      <c r="BB263" s="143"/>
      <c r="BC263" s="123"/>
      <c r="BD263" s="146"/>
      <c r="BE263" s="123"/>
      <c r="BF263" s="143"/>
      <c r="BG263" s="123"/>
      <c r="BH263" s="143"/>
      <c r="BI263" s="123"/>
      <c r="BJ263" s="143"/>
      <c r="BK263" s="123"/>
      <c r="BL263" s="143"/>
      <c r="BM263" s="123"/>
      <c r="BN263" s="143"/>
      <c r="BO263" s="123"/>
      <c r="BP263" s="143"/>
      <c r="BQ263" s="123"/>
      <c r="BR263" s="123"/>
      <c r="BS263" s="123"/>
      <c r="BT263" s="143"/>
      <c r="BU263" s="123"/>
      <c r="BV263" s="123"/>
      <c r="BW263" s="123"/>
      <c r="BX263" s="143"/>
      <c r="BY263" s="123"/>
      <c r="BZ263" s="143"/>
      <c r="CA263" s="123"/>
      <c r="CB263" s="143"/>
      <c r="CC263" s="123"/>
      <c r="CD263" s="146"/>
      <c r="CE263" s="123"/>
      <c r="CF263" s="143"/>
      <c r="CG263" s="132"/>
      <c r="CH263" s="143"/>
      <c r="CI263" s="123"/>
      <c r="CJ263" s="127"/>
      <c r="CK263" s="123"/>
      <c r="CL263" s="123"/>
      <c r="CM263" s="130"/>
      <c r="CN263" s="143"/>
      <c r="CO263" s="123"/>
      <c r="CP263" s="143"/>
      <c r="CQ263" s="123"/>
      <c r="CR263" s="143"/>
      <c r="CS263" s="123"/>
      <c r="CT263" s="143"/>
      <c r="CU263" s="127"/>
      <c r="CV263" s="127"/>
      <c r="CW263" s="126">
        <f t="shared" si="437"/>
        <v>47</v>
      </c>
      <c r="CX263" s="126">
        <f t="shared" si="437"/>
        <v>11468495.769973438</v>
      </c>
    </row>
    <row r="264" spans="1:102" x14ac:dyDescent="0.25">
      <c r="A264" s="91"/>
      <c r="B264" s="216" t="s">
        <v>640</v>
      </c>
      <c r="C264" s="202" t="s">
        <v>641</v>
      </c>
      <c r="D264" s="220" t="s">
        <v>642</v>
      </c>
      <c r="E264" s="95"/>
      <c r="F264" s="96">
        <v>29405</v>
      </c>
      <c r="G264" s="221">
        <v>9.2899999999999991</v>
      </c>
      <c r="H264" s="107">
        <v>1</v>
      </c>
      <c r="I264" s="108"/>
      <c r="J264" s="108"/>
      <c r="K264" s="108"/>
      <c r="L264" s="163">
        <v>2.8000000000000001E-2</v>
      </c>
      <c r="M264" s="213">
        <v>1.4</v>
      </c>
      <c r="N264" s="213">
        <v>1.68</v>
      </c>
      <c r="O264" s="213">
        <v>2.23</v>
      </c>
      <c r="P264" s="214">
        <v>2.57</v>
      </c>
      <c r="Q264" s="122"/>
      <c r="R264" s="143"/>
      <c r="S264" s="157"/>
      <c r="T264" s="144"/>
      <c r="U264" s="143"/>
      <c r="V264" s="143"/>
      <c r="W264" s="123"/>
      <c r="X264" s="143"/>
      <c r="Y264" s="222">
        <f>52-39</f>
        <v>13</v>
      </c>
      <c r="Z264" s="218">
        <f t="shared" si="440"/>
        <v>3636954.6232915996</v>
      </c>
      <c r="AA264" s="123"/>
      <c r="AB264" s="143"/>
      <c r="AC264" s="123"/>
      <c r="AD264" s="123"/>
      <c r="AE264" s="123"/>
      <c r="AF264" s="143"/>
      <c r="AG264" s="123"/>
      <c r="AH264" s="143"/>
      <c r="AI264" s="123"/>
      <c r="AJ264" s="143">
        <f t="shared" si="411"/>
        <v>0</v>
      </c>
      <c r="AK264" s="123"/>
      <c r="AL264" s="143">
        <f t="shared" si="412"/>
        <v>0</v>
      </c>
      <c r="AM264" s="219">
        <f>58-12</f>
        <v>46</v>
      </c>
      <c r="AN264" s="218">
        <f t="shared" si="441"/>
        <v>13000251.54509664</v>
      </c>
      <c r="AO264" s="130"/>
      <c r="AP264" s="143"/>
      <c r="AQ264" s="143">
        <v>0</v>
      </c>
      <c r="AR264" s="143">
        <v>0</v>
      </c>
      <c r="AS264" s="123"/>
      <c r="AT264" s="123"/>
      <c r="AU264" s="123"/>
      <c r="AV264" s="123"/>
      <c r="AW264" s="123"/>
      <c r="AX264" s="143"/>
      <c r="AY264" s="131"/>
      <c r="AZ264" s="143"/>
      <c r="BA264" s="123"/>
      <c r="BB264" s="143"/>
      <c r="BC264" s="123"/>
      <c r="BD264" s="146"/>
      <c r="BE264" s="123"/>
      <c r="BF264" s="143"/>
      <c r="BG264" s="123"/>
      <c r="BH264" s="143"/>
      <c r="BI264" s="123"/>
      <c r="BJ264" s="143"/>
      <c r="BK264" s="123"/>
      <c r="BL264" s="143"/>
      <c r="BM264" s="123"/>
      <c r="BN264" s="143"/>
      <c r="BO264" s="123"/>
      <c r="BP264" s="143"/>
      <c r="BQ264" s="123"/>
      <c r="BR264" s="123"/>
      <c r="BS264" s="123"/>
      <c r="BT264" s="143"/>
      <c r="BU264" s="123"/>
      <c r="BV264" s="123"/>
      <c r="BW264" s="123"/>
      <c r="BX264" s="143"/>
      <c r="BY264" s="123"/>
      <c r="BZ264" s="143"/>
      <c r="CA264" s="123"/>
      <c r="CB264" s="143"/>
      <c r="CC264" s="123"/>
      <c r="CD264" s="146"/>
      <c r="CE264" s="123"/>
      <c r="CF264" s="143"/>
      <c r="CG264" s="132"/>
      <c r="CH264" s="143"/>
      <c r="CI264" s="123"/>
      <c r="CJ264" s="127"/>
      <c r="CK264" s="123"/>
      <c r="CL264" s="123"/>
      <c r="CM264" s="130"/>
      <c r="CN264" s="143"/>
      <c r="CO264" s="123"/>
      <c r="CP264" s="143"/>
      <c r="CQ264" s="123"/>
      <c r="CR264" s="143"/>
      <c r="CS264" s="123"/>
      <c r="CT264" s="143"/>
      <c r="CU264" s="127"/>
      <c r="CV264" s="127"/>
      <c r="CW264" s="126">
        <f t="shared" si="437"/>
        <v>59</v>
      </c>
      <c r="CX264" s="126">
        <f t="shared" si="437"/>
        <v>16637206.16838824</v>
      </c>
    </row>
    <row r="265" spans="1:102" ht="60" x14ac:dyDescent="0.25">
      <c r="A265" s="91"/>
      <c r="B265" s="116">
        <v>209</v>
      </c>
      <c r="C265" s="202" t="s">
        <v>643</v>
      </c>
      <c r="D265" s="148" t="s">
        <v>644</v>
      </c>
      <c r="E265" s="95">
        <v>28004</v>
      </c>
      <c r="F265" s="96">
        <v>29405</v>
      </c>
      <c r="G265" s="149">
        <v>9.9</v>
      </c>
      <c r="H265" s="107">
        <v>1</v>
      </c>
      <c r="I265" s="108"/>
      <c r="J265" s="108"/>
      <c r="K265" s="108"/>
      <c r="L265" s="163">
        <v>2.24E-2</v>
      </c>
      <c r="M265" s="120">
        <v>1.4</v>
      </c>
      <c r="N265" s="120">
        <v>1.68</v>
      </c>
      <c r="O265" s="120">
        <v>2.23</v>
      </c>
      <c r="P265" s="121">
        <v>2.57</v>
      </c>
      <c r="Q265" s="122">
        <v>0</v>
      </c>
      <c r="R265" s="143">
        <f t="shared" si="404"/>
        <v>0</v>
      </c>
      <c r="S265" s="157"/>
      <c r="T265" s="144">
        <f>(S265/12*2*$E265*$G265*((1-$L265)+$L265*$M265*$R$11*$H265))+(S265/12*10*$F265*$G265*((1-$L265)+$L265*$M265*$R$11*$H265))</f>
        <v>0</v>
      </c>
      <c r="U265" s="143"/>
      <c r="V265" s="143">
        <f t="shared" si="405"/>
        <v>0</v>
      </c>
      <c r="W265" s="123"/>
      <c r="X265" s="143">
        <f t="shared" si="406"/>
        <v>0</v>
      </c>
      <c r="Y265" s="123">
        <f>96-67</f>
        <v>29</v>
      </c>
      <c r="Z265" s="143">
        <f t="shared" si="407"/>
        <v>8539793.0569775999</v>
      </c>
      <c r="AA265" s="123"/>
      <c r="AB265" s="143">
        <f t="shared" si="408"/>
        <v>0</v>
      </c>
      <c r="AC265" s="123"/>
      <c r="AD265" s="123"/>
      <c r="AE265" s="123"/>
      <c r="AF265" s="143">
        <f t="shared" si="409"/>
        <v>0</v>
      </c>
      <c r="AG265" s="123">
        <v>0</v>
      </c>
      <c r="AH265" s="143">
        <f t="shared" si="410"/>
        <v>0</v>
      </c>
      <c r="AI265" s="123"/>
      <c r="AJ265" s="143">
        <f t="shared" si="411"/>
        <v>0</v>
      </c>
      <c r="AK265" s="123"/>
      <c r="AL265" s="143">
        <f t="shared" si="412"/>
        <v>0</v>
      </c>
      <c r="AM265" s="129">
        <f>100-13</f>
        <v>87</v>
      </c>
      <c r="AN265" s="143">
        <f t="shared" si="413"/>
        <v>25830734.265135363</v>
      </c>
      <c r="AO265" s="130"/>
      <c r="AP265" s="143">
        <f t="shared" si="414"/>
        <v>0</v>
      </c>
      <c r="AQ265" s="143">
        <v>0</v>
      </c>
      <c r="AR265" s="143">
        <v>0</v>
      </c>
      <c r="AS265" s="123"/>
      <c r="AT265" s="123"/>
      <c r="AU265" s="123"/>
      <c r="AV265" s="123"/>
      <c r="AW265" s="123"/>
      <c r="AX265" s="143">
        <f t="shared" si="415"/>
        <v>0</v>
      </c>
      <c r="AY265" s="131">
        <v>0</v>
      </c>
      <c r="AZ265" s="143">
        <f t="shared" si="416"/>
        <v>0</v>
      </c>
      <c r="BA265" s="123"/>
      <c r="BB265" s="143">
        <f t="shared" si="417"/>
        <v>0</v>
      </c>
      <c r="BC265" s="123"/>
      <c r="BD265" s="146">
        <f t="shared" si="438"/>
        <v>0</v>
      </c>
      <c r="BE265" s="123"/>
      <c r="BF265" s="143">
        <f t="shared" si="418"/>
        <v>0</v>
      </c>
      <c r="BG265" s="123"/>
      <c r="BH265" s="143">
        <f t="shared" si="419"/>
        <v>0</v>
      </c>
      <c r="BI265" s="123"/>
      <c r="BJ265" s="143">
        <f t="shared" si="420"/>
        <v>0</v>
      </c>
      <c r="BK265" s="123"/>
      <c r="BL265" s="143">
        <f t="shared" si="421"/>
        <v>0</v>
      </c>
      <c r="BM265" s="123"/>
      <c r="BN265" s="143">
        <f t="shared" si="422"/>
        <v>0</v>
      </c>
      <c r="BO265" s="123"/>
      <c r="BP265" s="143">
        <f t="shared" si="423"/>
        <v>0</v>
      </c>
      <c r="BQ265" s="123"/>
      <c r="BR265" s="123"/>
      <c r="BS265" s="123"/>
      <c r="BT265" s="143">
        <f t="shared" si="424"/>
        <v>0</v>
      </c>
      <c r="BU265" s="123"/>
      <c r="BV265" s="123"/>
      <c r="BW265" s="123"/>
      <c r="BX265" s="143">
        <f t="shared" si="425"/>
        <v>0</v>
      </c>
      <c r="BY265" s="123"/>
      <c r="BZ265" s="143">
        <f t="shared" si="426"/>
        <v>0</v>
      </c>
      <c r="CA265" s="123"/>
      <c r="CB265" s="143">
        <f t="shared" si="427"/>
        <v>0</v>
      </c>
      <c r="CC265" s="123"/>
      <c r="CD265" s="146">
        <f t="shared" si="428"/>
        <v>0</v>
      </c>
      <c r="CE265" s="123"/>
      <c r="CF265" s="143">
        <f t="shared" si="429"/>
        <v>0</v>
      </c>
      <c r="CG265" s="132"/>
      <c r="CH265" s="143">
        <f t="shared" si="430"/>
        <v>0</v>
      </c>
      <c r="CI265" s="123"/>
      <c r="CJ265" s="127"/>
      <c r="CK265" s="123"/>
      <c r="CL265" s="123"/>
      <c r="CM265" s="130"/>
      <c r="CN265" s="143">
        <f t="shared" si="431"/>
        <v>0</v>
      </c>
      <c r="CO265" s="123"/>
      <c r="CP265" s="143">
        <f t="shared" si="432"/>
        <v>0</v>
      </c>
      <c r="CQ265" s="123"/>
      <c r="CR265" s="143">
        <f t="shared" si="433"/>
        <v>0</v>
      </c>
      <c r="CS265" s="123"/>
      <c r="CT265" s="143">
        <f t="shared" si="434"/>
        <v>0</v>
      </c>
      <c r="CU265" s="127"/>
      <c r="CV265" s="127"/>
      <c r="CW265" s="126">
        <f t="shared" si="437"/>
        <v>116</v>
      </c>
      <c r="CX265" s="126">
        <f t="shared" si="437"/>
        <v>34370527.322112963</v>
      </c>
    </row>
    <row r="266" spans="1:102" ht="60" x14ac:dyDescent="0.25">
      <c r="A266" s="91"/>
      <c r="B266" s="116">
        <v>210</v>
      </c>
      <c r="C266" s="202" t="s">
        <v>645</v>
      </c>
      <c r="D266" s="148" t="s">
        <v>646</v>
      </c>
      <c r="E266" s="95">
        <v>28004</v>
      </c>
      <c r="F266" s="96">
        <v>29405</v>
      </c>
      <c r="G266" s="149">
        <v>11.28</v>
      </c>
      <c r="H266" s="107">
        <v>1</v>
      </c>
      <c r="I266" s="108"/>
      <c r="J266" s="108"/>
      <c r="K266" s="108"/>
      <c r="L266" s="163">
        <v>1.8800000000000001E-2</v>
      </c>
      <c r="M266" s="120">
        <v>1.4</v>
      </c>
      <c r="N266" s="120">
        <v>1.68</v>
      </c>
      <c r="O266" s="120">
        <v>2.23</v>
      </c>
      <c r="P266" s="121">
        <v>2.57</v>
      </c>
      <c r="Q266" s="122">
        <v>0</v>
      </c>
      <c r="R266" s="143">
        <f t="shared" si="404"/>
        <v>0</v>
      </c>
      <c r="S266" s="157"/>
      <c r="T266" s="144">
        <f>(S266/12*2*$E266*$G266*((1-$L266)+$L266*$M266*$R$11*$H266))+(S266/12*10*$F266*$G266*((1-$L266)+$L266*$M266*$R$11*$H266))</f>
        <v>0</v>
      </c>
      <c r="U266" s="143"/>
      <c r="V266" s="143">
        <f t="shared" si="405"/>
        <v>0</v>
      </c>
      <c r="W266" s="123"/>
      <c r="X266" s="143">
        <f t="shared" si="406"/>
        <v>0</v>
      </c>
      <c r="Y266" s="123">
        <f>26+5</f>
        <v>31</v>
      </c>
      <c r="Z266" s="143">
        <f t="shared" si="407"/>
        <v>10369005.355324961</v>
      </c>
      <c r="AA266" s="123"/>
      <c r="AB266" s="143">
        <f t="shared" si="408"/>
        <v>0</v>
      </c>
      <c r="AC266" s="123"/>
      <c r="AD266" s="123"/>
      <c r="AE266" s="123"/>
      <c r="AF266" s="143">
        <f t="shared" si="409"/>
        <v>0</v>
      </c>
      <c r="AG266" s="123">
        <v>0</v>
      </c>
      <c r="AH266" s="143">
        <f t="shared" si="410"/>
        <v>0</v>
      </c>
      <c r="AI266" s="123"/>
      <c r="AJ266" s="143">
        <f t="shared" si="411"/>
        <v>0</v>
      </c>
      <c r="AK266" s="123"/>
      <c r="AL266" s="143">
        <f t="shared" si="412"/>
        <v>0</v>
      </c>
      <c r="AM266" s="129">
        <f>27+5</f>
        <v>32</v>
      </c>
      <c r="AN266" s="143">
        <f t="shared" si="413"/>
        <v>10777830.190700542</v>
      </c>
      <c r="AO266" s="130"/>
      <c r="AP266" s="143">
        <f t="shared" si="414"/>
        <v>0</v>
      </c>
      <c r="AQ266" s="143">
        <v>0</v>
      </c>
      <c r="AR266" s="143">
        <v>0</v>
      </c>
      <c r="AS266" s="123"/>
      <c r="AT266" s="123"/>
      <c r="AU266" s="123"/>
      <c r="AV266" s="123"/>
      <c r="AW266" s="123"/>
      <c r="AX266" s="143">
        <f t="shared" si="415"/>
        <v>0</v>
      </c>
      <c r="AY266" s="131">
        <v>0</v>
      </c>
      <c r="AZ266" s="143">
        <f t="shared" si="416"/>
        <v>0</v>
      </c>
      <c r="BA266" s="123"/>
      <c r="BB266" s="143">
        <f t="shared" si="417"/>
        <v>0</v>
      </c>
      <c r="BC266" s="123"/>
      <c r="BD266" s="146">
        <f t="shared" si="438"/>
        <v>0</v>
      </c>
      <c r="BE266" s="123"/>
      <c r="BF266" s="143">
        <f t="shared" si="418"/>
        <v>0</v>
      </c>
      <c r="BG266" s="123"/>
      <c r="BH266" s="143">
        <f t="shared" si="419"/>
        <v>0</v>
      </c>
      <c r="BI266" s="123"/>
      <c r="BJ266" s="143">
        <f t="shared" si="420"/>
        <v>0</v>
      </c>
      <c r="BK266" s="123"/>
      <c r="BL266" s="143">
        <f t="shared" si="421"/>
        <v>0</v>
      </c>
      <c r="BM266" s="123"/>
      <c r="BN266" s="143">
        <f t="shared" si="422"/>
        <v>0</v>
      </c>
      <c r="BO266" s="123"/>
      <c r="BP266" s="143">
        <f t="shared" si="423"/>
        <v>0</v>
      </c>
      <c r="BQ266" s="123"/>
      <c r="BR266" s="123"/>
      <c r="BS266" s="123"/>
      <c r="BT266" s="143">
        <f t="shared" si="424"/>
        <v>0</v>
      </c>
      <c r="BU266" s="123"/>
      <c r="BV266" s="123"/>
      <c r="BW266" s="123"/>
      <c r="BX266" s="143">
        <f t="shared" si="425"/>
        <v>0</v>
      </c>
      <c r="BY266" s="123"/>
      <c r="BZ266" s="143">
        <f t="shared" si="426"/>
        <v>0</v>
      </c>
      <c r="CA266" s="123"/>
      <c r="CB266" s="143">
        <f t="shared" si="427"/>
        <v>0</v>
      </c>
      <c r="CC266" s="123"/>
      <c r="CD266" s="146">
        <f t="shared" si="428"/>
        <v>0</v>
      </c>
      <c r="CE266" s="123"/>
      <c r="CF266" s="143">
        <f t="shared" si="429"/>
        <v>0</v>
      </c>
      <c r="CG266" s="132"/>
      <c r="CH266" s="143">
        <f t="shared" si="430"/>
        <v>0</v>
      </c>
      <c r="CI266" s="123"/>
      <c r="CJ266" s="127"/>
      <c r="CK266" s="123"/>
      <c r="CL266" s="123"/>
      <c r="CM266" s="130"/>
      <c r="CN266" s="143">
        <f t="shared" si="431"/>
        <v>0</v>
      </c>
      <c r="CO266" s="123"/>
      <c r="CP266" s="143">
        <f t="shared" si="432"/>
        <v>0</v>
      </c>
      <c r="CQ266" s="123"/>
      <c r="CR266" s="143">
        <f t="shared" si="433"/>
        <v>0</v>
      </c>
      <c r="CS266" s="123"/>
      <c r="CT266" s="143">
        <f t="shared" si="434"/>
        <v>0</v>
      </c>
      <c r="CU266" s="127"/>
      <c r="CV266" s="127"/>
      <c r="CW266" s="126">
        <f t="shared" si="437"/>
        <v>63</v>
      </c>
      <c r="CX266" s="126">
        <f t="shared" si="437"/>
        <v>21146835.546025503</v>
      </c>
    </row>
    <row r="267" spans="1:102" x14ac:dyDescent="0.25">
      <c r="A267" s="91"/>
      <c r="B267" s="216" t="s">
        <v>647</v>
      </c>
      <c r="C267" s="202" t="s">
        <v>648</v>
      </c>
      <c r="D267" s="220" t="s">
        <v>649</v>
      </c>
      <c r="E267" s="95"/>
      <c r="F267" s="96">
        <v>29405</v>
      </c>
      <c r="G267" s="221">
        <v>10.77</v>
      </c>
      <c r="H267" s="107">
        <v>1</v>
      </c>
      <c r="I267" s="108"/>
      <c r="J267" s="108"/>
      <c r="K267" s="108"/>
      <c r="L267" s="163">
        <v>1.8800000000000001E-2</v>
      </c>
      <c r="M267" s="213">
        <v>1.4</v>
      </c>
      <c r="N267" s="213">
        <v>1.68</v>
      </c>
      <c r="O267" s="213">
        <v>2.23</v>
      </c>
      <c r="P267" s="214">
        <v>2.57</v>
      </c>
      <c r="Q267" s="122"/>
      <c r="R267" s="143"/>
      <c r="S267" s="157"/>
      <c r="T267" s="144"/>
      <c r="U267" s="143"/>
      <c r="V267" s="143"/>
      <c r="W267" s="123"/>
      <c r="X267" s="143"/>
      <c r="Y267" s="222">
        <f>101-73</f>
        <v>28</v>
      </c>
      <c r="Z267" s="218">
        <f t="shared" ref="Z267:Z268" si="442">Y267*$F267*$G267*((1-$L267)+$L267*$M267*$Z$12*$H267)</f>
        <v>9011072.8804420792</v>
      </c>
      <c r="AA267" s="123"/>
      <c r="AB267" s="143"/>
      <c r="AC267" s="123"/>
      <c r="AD267" s="123"/>
      <c r="AE267" s="123"/>
      <c r="AF267" s="143"/>
      <c r="AG267" s="123"/>
      <c r="AH267" s="143"/>
      <c r="AI267" s="123"/>
      <c r="AJ267" s="143">
        <f t="shared" si="411"/>
        <v>0</v>
      </c>
      <c r="AK267" s="123"/>
      <c r="AL267" s="143">
        <f t="shared" si="412"/>
        <v>0</v>
      </c>
      <c r="AM267" s="219">
        <f>98-75</f>
        <v>23</v>
      </c>
      <c r="AN267" s="218">
        <f t="shared" ref="AN267:AN268" si="443">(AM267*$F267*$G267*((1-$L267)+$L267*$N267*$AN$12*H267))</f>
        <v>7452948.2690523351</v>
      </c>
      <c r="AO267" s="130"/>
      <c r="AP267" s="143"/>
      <c r="AQ267" s="143">
        <v>0</v>
      </c>
      <c r="AR267" s="143">
        <v>0</v>
      </c>
      <c r="AS267" s="123"/>
      <c r="AT267" s="123"/>
      <c r="AU267" s="123"/>
      <c r="AV267" s="123"/>
      <c r="AW267" s="123"/>
      <c r="AX267" s="143"/>
      <c r="AY267" s="131"/>
      <c r="AZ267" s="143"/>
      <c r="BA267" s="123"/>
      <c r="BB267" s="143"/>
      <c r="BC267" s="123"/>
      <c r="BD267" s="146"/>
      <c r="BE267" s="123"/>
      <c r="BF267" s="143"/>
      <c r="BG267" s="123"/>
      <c r="BH267" s="143"/>
      <c r="BI267" s="123"/>
      <c r="BJ267" s="143"/>
      <c r="BK267" s="123"/>
      <c r="BL267" s="143"/>
      <c r="BM267" s="123"/>
      <c r="BN267" s="143"/>
      <c r="BO267" s="123"/>
      <c r="BP267" s="143"/>
      <c r="BQ267" s="123"/>
      <c r="BR267" s="123"/>
      <c r="BS267" s="123"/>
      <c r="BT267" s="143"/>
      <c r="BU267" s="123"/>
      <c r="BV267" s="123"/>
      <c r="BW267" s="123"/>
      <c r="BX267" s="143"/>
      <c r="BY267" s="123"/>
      <c r="BZ267" s="143"/>
      <c r="CA267" s="123"/>
      <c r="CB267" s="143"/>
      <c r="CC267" s="123"/>
      <c r="CD267" s="146"/>
      <c r="CE267" s="123"/>
      <c r="CF267" s="143"/>
      <c r="CG267" s="132"/>
      <c r="CH267" s="143"/>
      <c r="CI267" s="123"/>
      <c r="CJ267" s="127"/>
      <c r="CK267" s="123"/>
      <c r="CL267" s="123"/>
      <c r="CM267" s="130"/>
      <c r="CN267" s="143"/>
      <c r="CO267" s="123"/>
      <c r="CP267" s="143"/>
      <c r="CQ267" s="123"/>
      <c r="CR267" s="143"/>
      <c r="CS267" s="123"/>
      <c r="CT267" s="143"/>
      <c r="CU267" s="127"/>
      <c r="CV267" s="127"/>
      <c r="CW267" s="126">
        <f t="shared" si="437"/>
        <v>51</v>
      </c>
      <c r="CX267" s="126">
        <f t="shared" si="437"/>
        <v>16464021.149494413</v>
      </c>
    </row>
    <row r="268" spans="1:102" x14ac:dyDescent="0.25">
      <c r="A268" s="91"/>
      <c r="B268" s="216" t="s">
        <v>650</v>
      </c>
      <c r="C268" s="202" t="s">
        <v>651</v>
      </c>
      <c r="D268" s="220" t="s">
        <v>652</v>
      </c>
      <c r="E268" s="95"/>
      <c r="F268" s="96">
        <v>29405</v>
      </c>
      <c r="G268" s="221">
        <v>11.8</v>
      </c>
      <c r="H268" s="107">
        <v>1</v>
      </c>
      <c r="I268" s="108"/>
      <c r="J268" s="108"/>
      <c r="K268" s="108"/>
      <c r="L268" s="163">
        <v>1.8800000000000001E-2</v>
      </c>
      <c r="M268" s="213">
        <v>1.4</v>
      </c>
      <c r="N268" s="213">
        <v>1.68</v>
      </c>
      <c r="O268" s="213">
        <v>2.23</v>
      </c>
      <c r="P268" s="214">
        <v>2.57</v>
      </c>
      <c r="Q268" s="122"/>
      <c r="R268" s="143"/>
      <c r="S268" s="157"/>
      <c r="T268" s="144"/>
      <c r="U268" s="143"/>
      <c r="V268" s="143"/>
      <c r="W268" s="123"/>
      <c r="X268" s="143"/>
      <c r="Y268" s="222">
        <f>99-72</f>
        <v>27</v>
      </c>
      <c r="Z268" s="218">
        <f t="shared" si="442"/>
        <v>9520254.0778247993</v>
      </c>
      <c r="AA268" s="123"/>
      <c r="AB268" s="143"/>
      <c r="AC268" s="123"/>
      <c r="AD268" s="123"/>
      <c r="AE268" s="123"/>
      <c r="AF268" s="143"/>
      <c r="AG268" s="123"/>
      <c r="AH268" s="143"/>
      <c r="AI268" s="123"/>
      <c r="AJ268" s="143">
        <f t="shared" si="411"/>
        <v>0</v>
      </c>
      <c r="AK268" s="123"/>
      <c r="AL268" s="143">
        <f t="shared" si="412"/>
        <v>0</v>
      </c>
      <c r="AM268" s="219">
        <f>98-74</f>
        <v>24</v>
      </c>
      <c r="AN268" s="218">
        <f t="shared" si="443"/>
        <v>8520749.8679731209</v>
      </c>
      <c r="AO268" s="130"/>
      <c r="AP268" s="143"/>
      <c r="AQ268" s="143">
        <v>0</v>
      </c>
      <c r="AR268" s="143">
        <v>0</v>
      </c>
      <c r="AS268" s="123"/>
      <c r="AT268" s="123"/>
      <c r="AU268" s="123"/>
      <c r="AV268" s="123"/>
      <c r="AW268" s="123"/>
      <c r="AX268" s="143"/>
      <c r="AY268" s="131"/>
      <c r="AZ268" s="143"/>
      <c r="BA268" s="123"/>
      <c r="BB268" s="143"/>
      <c r="BC268" s="123"/>
      <c r="BD268" s="146"/>
      <c r="BE268" s="123"/>
      <c r="BF268" s="143"/>
      <c r="BG268" s="123"/>
      <c r="BH268" s="143"/>
      <c r="BI268" s="123"/>
      <c r="BJ268" s="143"/>
      <c r="BK268" s="123"/>
      <c r="BL268" s="143"/>
      <c r="BM268" s="123"/>
      <c r="BN268" s="143"/>
      <c r="BO268" s="123"/>
      <c r="BP268" s="143"/>
      <c r="BQ268" s="123"/>
      <c r="BR268" s="123"/>
      <c r="BS268" s="123"/>
      <c r="BT268" s="143"/>
      <c r="BU268" s="123"/>
      <c r="BV268" s="123"/>
      <c r="BW268" s="123"/>
      <c r="BX268" s="143"/>
      <c r="BY268" s="123"/>
      <c r="BZ268" s="143"/>
      <c r="CA268" s="123"/>
      <c r="CB268" s="143"/>
      <c r="CC268" s="123"/>
      <c r="CD268" s="146"/>
      <c r="CE268" s="123"/>
      <c r="CF268" s="143"/>
      <c r="CG268" s="132"/>
      <c r="CH268" s="143"/>
      <c r="CI268" s="123"/>
      <c r="CJ268" s="127"/>
      <c r="CK268" s="123"/>
      <c r="CL268" s="123"/>
      <c r="CM268" s="130"/>
      <c r="CN268" s="143"/>
      <c r="CO268" s="123"/>
      <c r="CP268" s="143"/>
      <c r="CQ268" s="123"/>
      <c r="CR268" s="143"/>
      <c r="CS268" s="123"/>
      <c r="CT268" s="143"/>
      <c r="CU268" s="127"/>
      <c r="CV268" s="127"/>
      <c r="CW268" s="126">
        <f t="shared" si="437"/>
        <v>51</v>
      </c>
      <c r="CX268" s="126">
        <f t="shared" si="437"/>
        <v>18041003.94579792</v>
      </c>
    </row>
    <row r="269" spans="1:102" ht="60" x14ac:dyDescent="0.25">
      <c r="A269" s="91"/>
      <c r="B269" s="116">
        <v>211</v>
      </c>
      <c r="C269" s="202" t="s">
        <v>653</v>
      </c>
      <c r="D269" s="148" t="s">
        <v>654</v>
      </c>
      <c r="E269" s="95">
        <v>28004</v>
      </c>
      <c r="F269" s="96">
        <v>29405</v>
      </c>
      <c r="G269" s="149">
        <v>14.93</v>
      </c>
      <c r="H269" s="107">
        <v>1</v>
      </c>
      <c r="I269" s="108"/>
      <c r="J269" s="108"/>
      <c r="K269" s="108"/>
      <c r="L269" s="163">
        <v>1.6199999999999999E-2</v>
      </c>
      <c r="M269" s="120">
        <v>1.4</v>
      </c>
      <c r="N269" s="120">
        <v>1.68</v>
      </c>
      <c r="O269" s="120">
        <v>2.23</v>
      </c>
      <c r="P269" s="121">
        <v>2.57</v>
      </c>
      <c r="Q269" s="122">
        <v>0</v>
      </c>
      <c r="R269" s="143">
        <f t="shared" si="404"/>
        <v>0</v>
      </c>
      <c r="S269" s="157"/>
      <c r="T269" s="144">
        <f>(S269/12*2*$E269*$G269*((1-$L269)+$L269*$M269*$R$11*$H269))+(S269/12*10*$F269*$G269*((1-$L269)+$L269*$M269*$R$11*$H269))</f>
        <v>0</v>
      </c>
      <c r="U269" s="143"/>
      <c r="V269" s="143">
        <f t="shared" si="405"/>
        <v>0</v>
      </c>
      <c r="W269" s="123"/>
      <c r="X269" s="143">
        <f t="shared" si="406"/>
        <v>0</v>
      </c>
      <c r="Y269" s="123">
        <v>134</v>
      </c>
      <c r="Z269" s="143">
        <f t="shared" si="407"/>
        <v>59190888.194858864</v>
      </c>
      <c r="AA269" s="123"/>
      <c r="AB269" s="143">
        <f t="shared" si="408"/>
        <v>0</v>
      </c>
      <c r="AC269" s="123"/>
      <c r="AD269" s="123"/>
      <c r="AE269" s="123"/>
      <c r="AF269" s="143">
        <f t="shared" si="409"/>
        <v>0</v>
      </c>
      <c r="AG269" s="123">
        <v>0</v>
      </c>
      <c r="AH269" s="143">
        <f t="shared" si="410"/>
        <v>0</v>
      </c>
      <c r="AI269" s="123"/>
      <c r="AJ269" s="143">
        <f t="shared" si="411"/>
        <v>0</v>
      </c>
      <c r="AK269" s="123"/>
      <c r="AL269" s="143">
        <f t="shared" si="412"/>
        <v>0</v>
      </c>
      <c r="AM269" s="129">
        <v>50</v>
      </c>
      <c r="AN269" s="143">
        <f t="shared" si="413"/>
        <v>22218633.764007404</v>
      </c>
      <c r="AO269" s="130"/>
      <c r="AP269" s="143">
        <f t="shared" si="414"/>
        <v>0</v>
      </c>
      <c r="AQ269" s="143">
        <v>0</v>
      </c>
      <c r="AR269" s="143">
        <v>0</v>
      </c>
      <c r="AS269" s="123"/>
      <c r="AT269" s="123"/>
      <c r="AU269" s="123"/>
      <c r="AV269" s="123"/>
      <c r="AW269" s="123"/>
      <c r="AX269" s="143">
        <f t="shared" si="415"/>
        <v>0</v>
      </c>
      <c r="AY269" s="131">
        <v>0</v>
      </c>
      <c r="AZ269" s="143">
        <f t="shared" si="416"/>
        <v>0</v>
      </c>
      <c r="BA269" s="123"/>
      <c r="BB269" s="143">
        <f t="shared" si="417"/>
        <v>0</v>
      </c>
      <c r="BC269" s="123"/>
      <c r="BD269" s="146">
        <f t="shared" si="438"/>
        <v>0</v>
      </c>
      <c r="BE269" s="123"/>
      <c r="BF269" s="143">
        <f t="shared" si="418"/>
        <v>0</v>
      </c>
      <c r="BG269" s="123"/>
      <c r="BH269" s="143">
        <f t="shared" si="419"/>
        <v>0</v>
      </c>
      <c r="BI269" s="123"/>
      <c r="BJ269" s="143">
        <f t="shared" si="420"/>
        <v>0</v>
      </c>
      <c r="BK269" s="123"/>
      <c r="BL269" s="143">
        <f t="shared" si="421"/>
        <v>0</v>
      </c>
      <c r="BM269" s="123"/>
      <c r="BN269" s="143">
        <f t="shared" si="422"/>
        <v>0</v>
      </c>
      <c r="BO269" s="123"/>
      <c r="BP269" s="143">
        <f t="shared" si="423"/>
        <v>0</v>
      </c>
      <c r="BQ269" s="123"/>
      <c r="BR269" s="123"/>
      <c r="BS269" s="123"/>
      <c r="BT269" s="143">
        <f t="shared" si="424"/>
        <v>0</v>
      </c>
      <c r="BU269" s="123"/>
      <c r="BV269" s="123"/>
      <c r="BW269" s="123"/>
      <c r="BX269" s="143">
        <f t="shared" si="425"/>
        <v>0</v>
      </c>
      <c r="BY269" s="123"/>
      <c r="BZ269" s="143">
        <f t="shared" si="426"/>
        <v>0</v>
      </c>
      <c r="CA269" s="123"/>
      <c r="CB269" s="143">
        <f t="shared" si="427"/>
        <v>0</v>
      </c>
      <c r="CC269" s="123"/>
      <c r="CD269" s="146">
        <f t="shared" si="428"/>
        <v>0</v>
      </c>
      <c r="CE269" s="123"/>
      <c r="CF269" s="143">
        <f t="shared" si="429"/>
        <v>0</v>
      </c>
      <c r="CG269" s="132"/>
      <c r="CH269" s="143">
        <f t="shared" si="430"/>
        <v>0</v>
      </c>
      <c r="CI269" s="123"/>
      <c r="CJ269" s="127"/>
      <c r="CK269" s="123"/>
      <c r="CL269" s="123"/>
      <c r="CM269" s="130"/>
      <c r="CN269" s="143">
        <f t="shared" si="431"/>
        <v>0</v>
      </c>
      <c r="CO269" s="123"/>
      <c r="CP269" s="143">
        <f t="shared" si="432"/>
        <v>0</v>
      </c>
      <c r="CQ269" s="123"/>
      <c r="CR269" s="143">
        <f t="shared" si="433"/>
        <v>0</v>
      </c>
      <c r="CS269" s="123"/>
      <c r="CT269" s="143">
        <f t="shared" si="434"/>
        <v>0</v>
      </c>
      <c r="CU269" s="127"/>
      <c r="CV269" s="127"/>
      <c r="CW269" s="126">
        <f t="shared" si="437"/>
        <v>184</v>
      </c>
      <c r="CX269" s="126">
        <f t="shared" si="437"/>
        <v>81409521.958866268</v>
      </c>
    </row>
    <row r="270" spans="1:102" ht="60" x14ac:dyDescent="0.25">
      <c r="A270" s="91"/>
      <c r="B270" s="116">
        <v>212</v>
      </c>
      <c r="C270" s="202" t="s">
        <v>655</v>
      </c>
      <c r="D270" s="148" t="s">
        <v>656</v>
      </c>
      <c r="E270" s="95">
        <v>28004</v>
      </c>
      <c r="F270" s="96">
        <v>29405</v>
      </c>
      <c r="G270" s="149">
        <v>17.37</v>
      </c>
      <c r="H270" s="107">
        <v>1</v>
      </c>
      <c r="I270" s="108"/>
      <c r="J270" s="108"/>
      <c r="K270" s="108"/>
      <c r="L270" s="163">
        <v>1.37E-2</v>
      </c>
      <c r="M270" s="120">
        <v>1.4</v>
      </c>
      <c r="N270" s="120">
        <v>1.68</v>
      </c>
      <c r="O270" s="120">
        <v>2.23</v>
      </c>
      <c r="P270" s="121">
        <v>2.57</v>
      </c>
      <c r="Q270" s="122">
        <v>0</v>
      </c>
      <c r="R270" s="143">
        <f t="shared" si="404"/>
        <v>0</v>
      </c>
      <c r="S270" s="157"/>
      <c r="T270" s="144">
        <f>(S270/12*2*$E270*$G270*((1-$L270)+$L270*$M270*$R$11*$H270))+(S270/12*10*$F270*$G270*((1-$L270)+$L270*$M270*$R$11*$H270))</f>
        <v>0</v>
      </c>
      <c r="U270" s="143"/>
      <c r="V270" s="143">
        <f t="shared" si="405"/>
        <v>0</v>
      </c>
      <c r="W270" s="123"/>
      <c r="X270" s="143">
        <f t="shared" si="406"/>
        <v>0</v>
      </c>
      <c r="Y270" s="123">
        <v>5</v>
      </c>
      <c r="Z270" s="143">
        <f t="shared" si="407"/>
        <v>2564008.6521824258</v>
      </c>
      <c r="AA270" s="123"/>
      <c r="AB270" s="143">
        <f t="shared" si="408"/>
        <v>0</v>
      </c>
      <c r="AC270" s="123"/>
      <c r="AD270" s="123"/>
      <c r="AE270" s="123"/>
      <c r="AF270" s="143">
        <f t="shared" si="409"/>
        <v>0</v>
      </c>
      <c r="AG270" s="123">
        <v>0</v>
      </c>
      <c r="AH270" s="143">
        <f t="shared" si="410"/>
        <v>0</v>
      </c>
      <c r="AI270" s="123"/>
      <c r="AJ270" s="143">
        <f t="shared" si="411"/>
        <v>0</v>
      </c>
      <c r="AK270" s="123"/>
      <c r="AL270" s="143">
        <f t="shared" si="412"/>
        <v>0</v>
      </c>
      <c r="AM270" s="129">
        <f>24+10</f>
        <v>34</v>
      </c>
      <c r="AN270" s="143">
        <f t="shared" si="413"/>
        <v>17523894.714056391</v>
      </c>
      <c r="AO270" s="130"/>
      <c r="AP270" s="143">
        <f t="shared" si="414"/>
        <v>0</v>
      </c>
      <c r="AQ270" s="143">
        <v>0</v>
      </c>
      <c r="AR270" s="143">
        <v>0</v>
      </c>
      <c r="AS270" s="123"/>
      <c r="AT270" s="123"/>
      <c r="AU270" s="123"/>
      <c r="AV270" s="123"/>
      <c r="AW270" s="123"/>
      <c r="AX270" s="143">
        <f t="shared" si="415"/>
        <v>0</v>
      </c>
      <c r="AY270" s="131">
        <v>0</v>
      </c>
      <c r="AZ270" s="143">
        <f t="shared" si="416"/>
        <v>0</v>
      </c>
      <c r="BA270" s="123"/>
      <c r="BB270" s="143">
        <f t="shared" si="417"/>
        <v>0</v>
      </c>
      <c r="BC270" s="123"/>
      <c r="BD270" s="146">
        <f t="shared" si="438"/>
        <v>0</v>
      </c>
      <c r="BE270" s="123"/>
      <c r="BF270" s="143">
        <f t="shared" si="418"/>
        <v>0</v>
      </c>
      <c r="BG270" s="123"/>
      <c r="BH270" s="143">
        <f t="shared" si="419"/>
        <v>0</v>
      </c>
      <c r="BI270" s="123"/>
      <c r="BJ270" s="143">
        <f t="shared" si="420"/>
        <v>0</v>
      </c>
      <c r="BK270" s="123"/>
      <c r="BL270" s="143">
        <f t="shared" si="421"/>
        <v>0</v>
      </c>
      <c r="BM270" s="123"/>
      <c r="BN270" s="143">
        <f t="shared" si="422"/>
        <v>0</v>
      </c>
      <c r="BO270" s="123"/>
      <c r="BP270" s="143">
        <f t="shared" si="423"/>
        <v>0</v>
      </c>
      <c r="BQ270" s="123"/>
      <c r="BR270" s="123"/>
      <c r="BS270" s="123"/>
      <c r="BT270" s="143">
        <f t="shared" si="424"/>
        <v>0</v>
      </c>
      <c r="BU270" s="123"/>
      <c r="BV270" s="123"/>
      <c r="BW270" s="123"/>
      <c r="BX270" s="143">
        <f t="shared" si="425"/>
        <v>0</v>
      </c>
      <c r="BY270" s="123"/>
      <c r="BZ270" s="143">
        <f t="shared" si="426"/>
        <v>0</v>
      </c>
      <c r="CA270" s="123"/>
      <c r="CB270" s="143">
        <f t="shared" si="427"/>
        <v>0</v>
      </c>
      <c r="CC270" s="123"/>
      <c r="CD270" s="146">
        <f t="shared" si="428"/>
        <v>0</v>
      </c>
      <c r="CE270" s="123"/>
      <c r="CF270" s="143">
        <f t="shared" si="429"/>
        <v>0</v>
      </c>
      <c r="CG270" s="132"/>
      <c r="CH270" s="143">
        <f t="shared" si="430"/>
        <v>0</v>
      </c>
      <c r="CI270" s="123"/>
      <c r="CJ270" s="127"/>
      <c r="CK270" s="123"/>
      <c r="CL270" s="123"/>
      <c r="CM270" s="130"/>
      <c r="CN270" s="143">
        <f t="shared" si="431"/>
        <v>0</v>
      </c>
      <c r="CO270" s="123"/>
      <c r="CP270" s="143">
        <f t="shared" si="432"/>
        <v>0</v>
      </c>
      <c r="CQ270" s="123"/>
      <c r="CR270" s="143">
        <f t="shared" si="433"/>
        <v>0</v>
      </c>
      <c r="CS270" s="123"/>
      <c r="CT270" s="143">
        <f t="shared" si="434"/>
        <v>0</v>
      </c>
      <c r="CU270" s="127"/>
      <c r="CV270" s="127"/>
      <c r="CW270" s="126">
        <f t="shared" si="437"/>
        <v>39</v>
      </c>
      <c r="CX270" s="126">
        <f t="shared" si="437"/>
        <v>20087903.366238818</v>
      </c>
    </row>
    <row r="271" spans="1:102" x14ac:dyDescent="0.25">
      <c r="A271" s="91"/>
      <c r="B271" s="216" t="s">
        <v>657</v>
      </c>
      <c r="C271" s="202" t="s">
        <v>658</v>
      </c>
      <c r="D271" s="220" t="s">
        <v>659</v>
      </c>
      <c r="E271" s="95"/>
      <c r="F271" s="96">
        <v>29405</v>
      </c>
      <c r="G271" s="221">
        <v>16.100000000000001</v>
      </c>
      <c r="H271" s="107">
        <v>1</v>
      </c>
      <c r="I271" s="108"/>
      <c r="J271" s="108"/>
      <c r="K271" s="108"/>
      <c r="L271" s="163">
        <v>1.37E-2</v>
      </c>
      <c r="M271" s="213">
        <v>1.4</v>
      </c>
      <c r="N271" s="213">
        <v>1.68</v>
      </c>
      <c r="O271" s="213">
        <v>2.23</v>
      </c>
      <c r="P271" s="214">
        <v>2.57</v>
      </c>
      <c r="Q271" s="122"/>
      <c r="R271" s="143"/>
      <c r="S271" s="157"/>
      <c r="T271" s="144"/>
      <c r="U271" s="143"/>
      <c r="V271" s="143"/>
      <c r="W271" s="123"/>
      <c r="X271" s="143"/>
      <c r="Y271" s="222">
        <f>80-63</f>
        <v>17</v>
      </c>
      <c r="Z271" s="218">
        <f t="shared" ref="Z271:Z273" si="444">Y271*$F271*$G271*((1-$L271)+$L271*$M271*$Z$12*$H271)</f>
        <v>8143192.3048959011</v>
      </c>
      <c r="AA271" s="123"/>
      <c r="AB271" s="143"/>
      <c r="AC271" s="123"/>
      <c r="AD271" s="123"/>
      <c r="AE271" s="123"/>
      <c r="AF271" s="143"/>
      <c r="AG271" s="123"/>
      <c r="AH271" s="143"/>
      <c r="AI271" s="123"/>
      <c r="AJ271" s="143">
        <f t="shared" si="411"/>
        <v>0</v>
      </c>
      <c r="AK271" s="123"/>
      <c r="AL271" s="143">
        <f t="shared" si="412"/>
        <v>0</v>
      </c>
      <c r="AM271" s="219">
        <f>65-27</f>
        <v>38</v>
      </c>
      <c r="AN271" s="218">
        <f t="shared" ref="AN271:AN273" si="445">(AM271*$F271*$G271*((1-$L271)+$L271*$N271*$AN$12*H271))</f>
        <v>18294212.572063118</v>
      </c>
      <c r="AO271" s="130"/>
      <c r="AP271" s="143"/>
      <c r="AQ271" s="143">
        <v>0</v>
      </c>
      <c r="AR271" s="143">
        <v>0</v>
      </c>
      <c r="AS271" s="123"/>
      <c r="AT271" s="123"/>
      <c r="AU271" s="123"/>
      <c r="AV271" s="123"/>
      <c r="AW271" s="123"/>
      <c r="AX271" s="143"/>
      <c r="AY271" s="131"/>
      <c r="AZ271" s="143"/>
      <c r="BA271" s="123"/>
      <c r="BB271" s="143"/>
      <c r="BC271" s="123"/>
      <c r="BD271" s="146"/>
      <c r="BE271" s="123"/>
      <c r="BF271" s="143"/>
      <c r="BG271" s="123"/>
      <c r="BH271" s="143"/>
      <c r="BI271" s="123"/>
      <c r="BJ271" s="143"/>
      <c r="BK271" s="123"/>
      <c r="BL271" s="143"/>
      <c r="BM271" s="123"/>
      <c r="BN271" s="143"/>
      <c r="BO271" s="123"/>
      <c r="BP271" s="143"/>
      <c r="BQ271" s="123"/>
      <c r="BR271" s="123"/>
      <c r="BS271" s="123"/>
      <c r="BT271" s="143"/>
      <c r="BU271" s="123"/>
      <c r="BV271" s="123"/>
      <c r="BW271" s="123"/>
      <c r="BX271" s="143"/>
      <c r="BY271" s="123"/>
      <c r="BZ271" s="143"/>
      <c r="CA271" s="123"/>
      <c r="CB271" s="143"/>
      <c r="CC271" s="123"/>
      <c r="CD271" s="146"/>
      <c r="CE271" s="123"/>
      <c r="CF271" s="143"/>
      <c r="CG271" s="132"/>
      <c r="CH271" s="143"/>
      <c r="CI271" s="123"/>
      <c r="CJ271" s="127"/>
      <c r="CK271" s="123"/>
      <c r="CL271" s="123"/>
      <c r="CM271" s="130"/>
      <c r="CN271" s="143"/>
      <c r="CO271" s="123"/>
      <c r="CP271" s="143"/>
      <c r="CQ271" s="123"/>
      <c r="CR271" s="143"/>
      <c r="CS271" s="123"/>
      <c r="CT271" s="143"/>
      <c r="CU271" s="127"/>
      <c r="CV271" s="127"/>
      <c r="CW271" s="126">
        <f t="shared" si="437"/>
        <v>55</v>
      </c>
      <c r="CX271" s="126">
        <f t="shared" si="437"/>
        <v>26437404.876959018</v>
      </c>
    </row>
    <row r="272" spans="1:102" x14ac:dyDescent="0.25">
      <c r="A272" s="91"/>
      <c r="B272" s="216" t="s">
        <v>660</v>
      </c>
      <c r="C272" s="202" t="s">
        <v>661</v>
      </c>
      <c r="D272" s="220" t="s">
        <v>662</v>
      </c>
      <c r="E272" s="95"/>
      <c r="F272" s="96">
        <v>29405</v>
      </c>
      <c r="G272" s="221">
        <v>18.98</v>
      </c>
      <c r="H272" s="107">
        <v>1</v>
      </c>
      <c r="I272" s="108"/>
      <c r="J272" s="108"/>
      <c r="K272" s="108"/>
      <c r="L272" s="163">
        <v>1.37E-2</v>
      </c>
      <c r="M272" s="213">
        <v>1.4</v>
      </c>
      <c r="N272" s="213">
        <v>1.68</v>
      </c>
      <c r="O272" s="213">
        <v>2.23</v>
      </c>
      <c r="P272" s="214">
        <v>2.57</v>
      </c>
      <c r="Q272" s="122"/>
      <c r="R272" s="143"/>
      <c r="S272" s="157"/>
      <c r="T272" s="144"/>
      <c r="U272" s="143"/>
      <c r="V272" s="143"/>
      <c r="W272" s="123"/>
      <c r="X272" s="143"/>
      <c r="Y272" s="222">
        <f>52-45</f>
        <v>7</v>
      </c>
      <c r="Z272" s="218">
        <f t="shared" si="444"/>
        <v>3952884.65337402</v>
      </c>
      <c r="AA272" s="123"/>
      <c r="AB272" s="143"/>
      <c r="AC272" s="123"/>
      <c r="AD272" s="123"/>
      <c r="AE272" s="123"/>
      <c r="AF272" s="143"/>
      <c r="AG272" s="123"/>
      <c r="AH272" s="143"/>
      <c r="AI272" s="123"/>
      <c r="AJ272" s="143">
        <f t="shared" si="411"/>
        <v>0</v>
      </c>
      <c r="AK272" s="123"/>
      <c r="AL272" s="143">
        <f t="shared" si="412"/>
        <v>0</v>
      </c>
      <c r="AM272" s="219">
        <f>43-24</f>
        <v>19</v>
      </c>
      <c r="AN272" s="218">
        <f t="shared" si="445"/>
        <v>10783358.839060808</v>
      </c>
      <c r="AO272" s="130"/>
      <c r="AP272" s="143"/>
      <c r="AQ272" s="143">
        <v>0</v>
      </c>
      <c r="AR272" s="143">
        <v>0</v>
      </c>
      <c r="AS272" s="123"/>
      <c r="AT272" s="123"/>
      <c r="AU272" s="123"/>
      <c r="AV272" s="123"/>
      <c r="AW272" s="123"/>
      <c r="AX272" s="143"/>
      <c r="AY272" s="131"/>
      <c r="AZ272" s="143"/>
      <c r="BA272" s="123"/>
      <c r="BB272" s="143"/>
      <c r="BC272" s="123"/>
      <c r="BD272" s="146"/>
      <c r="BE272" s="123"/>
      <c r="BF272" s="143"/>
      <c r="BG272" s="123"/>
      <c r="BH272" s="143"/>
      <c r="BI272" s="123"/>
      <c r="BJ272" s="143"/>
      <c r="BK272" s="123"/>
      <c r="BL272" s="143"/>
      <c r="BM272" s="123"/>
      <c r="BN272" s="143"/>
      <c r="BO272" s="123"/>
      <c r="BP272" s="143"/>
      <c r="BQ272" s="123"/>
      <c r="BR272" s="123"/>
      <c r="BS272" s="123"/>
      <c r="BT272" s="143"/>
      <c r="BU272" s="123"/>
      <c r="BV272" s="123"/>
      <c r="BW272" s="123"/>
      <c r="BX272" s="143"/>
      <c r="BY272" s="123"/>
      <c r="BZ272" s="143"/>
      <c r="CA272" s="123"/>
      <c r="CB272" s="143"/>
      <c r="CC272" s="123"/>
      <c r="CD272" s="146"/>
      <c r="CE272" s="123"/>
      <c r="CF272" s="143"/>
      <c r="CG272" s="132"/>
      <c r="CH272" s="143"/>
      <c r="CI272" s="123"/>
      <c r="CJ272" s="127"/>
      <c r="CK272" s="123"/>
      <c r="CL272" s="123"/>
      <c r="CM272" s="130"/>
      <c r="CN272" s="143"/>
      <c r="CO272" s="123"/>
      <c r="CP272" s="143"/>
      <c r="CQ272" s="123"/>
      <c r="CR272" s="143"/>
      <c r="CS272" s="123"/>
      <c r="CT272" s="143"/>
      <c r="CU272" s="127"/>
      <c r="CV272" s="127"/>
      <c r="CW272" s="126">
        <f t="shared" si="437"/>
        <v>26</v>
      </c>
      <c r="CX272" s="126">
        <f t="shared" si="437"/>
        <v>14736243.492434828</v>
      </c>
    </row>
    <row r="273" spans="1:102" x14ac:dyDescent="0.25">
      <c r="A273" s="91"/>
      <c r="B273" s="216" t="s">
        <v>663</v>
      </c>
      <c r="C273" s="202" t="s">
        <v>664</v>
      </c>
      <c r="D273" s="220" t="s">
        <v>665</v>
      </c>
      <c r="E273" s="95"/>
      <c r="F273" s="96">
        <v>29405</v>
      </c>
      <c r="G273" s="221">
        <v>21.93</v>
      </c>
      <c r="H273" s="107">
        <v>1</v>
      </c>
      <c r="I273" s="108"/>
      <c r="J273" s="108"/>
      <c r="K273" s="108"/>
      <c r="L273" s="163">
        <v>1.37E-2</v>
      </c>
      <c r="M273" s="213">
        <v>1.4</v>
      </c>
      <c r="N273" s="213">
        <v>1.68</v>
      </c>
      <c r="O273" s="213">
        <v>2.23</v>
      </c>
      <c r="P273" s="214">
        <v>2.57</v>
      </c>
      <c r="Q273" s="122"/>
      <c r="R273" s="143"/>
      <c r="S273" s="157"/>
      <c r="T273" s="144"/>
      <c r="U273" s="143"/>
      <c r="V273" s="143"/>
      <c r="W273" s="123"/>
      <c r="X273" s="143"/>
      <c r="Y273" s="222">
        <f>4-2</f>
        <v>2</v>
      </c>
      <c r="Z273" s="218">
        <f t="shared" si="444"/>
        <v>1304933.92215102</v>
      </c>
      <c r="AA273" s="123"/>
      <c r="AB273" s="143"/>
      <c r="AC273" s="123"/>
      <c r="AD273" s="123"/>
      <c r="AE273" s="123"/>
      <c r="AF273" s="143"/>
      <c r="AG273" s="123"/>
      <c r="AH273" s="143"/>
      <c r="AI273" s="123"/>
      <c r="AJ273" s="143">
        <f t="shared" si="411"/>
        <v>0</v>
      </c>
      <c r="AK273" s="123"/>
      <c r="AL273" s="143">
        <f t="shared" si="412"/>
        <v>0</v>
      </c>
      <c r="AM273" s="219">
        <f>3+1</f>
        <v>4</v>
      </c>
      <c r="AN273" s="218">
        <f t="shared" si="445"/>
        <v>2623027.6672464479</v>
      </c>
      <c r="AO273" s="130"/>
      <c r="AP273" s="143"/>
      <c r="AQ273" s="143">
        <v>0</v>
      </c>
      <c r="AR273" s="143">
        <v>0</v>
      </c>
      <c r="AS273" s="123"/>
      <c r="AT273" s="123"/>
      <c r="AU273" s="123"/>
      <c r="AV273" s="123"/>
      <c r="AW273" s="123"/>
      <c r="AX273" s="143"/>
      <c r="AY273" s="131"/>
      <c r="AZ273" s="143"/>
      <c r="BA273" s="123"/>
      <c r="BB273" s="143"/>
      <c r="BC273" s="123"/>
      <c r="BD273" s="146"/>
      <c r="BE273" s="123"/>
      <c r="BF273" s="143"/>
      <c r="BG273" s="123"/>
      <c r="BH273" s="143"/>
      <c r="BI273" s="123"/>
      <c r="BJ273" s="143"/>
      <c r="BK273" s="123"/>
      <c r="BL273" s="143"/>
      <c r="BM273" s="123"/>
      <c r="BN273" s="143"/>
      <c r="BO273" s="123"/>
      <c r="BP273" s="143"/>
      <c r="BQ273" s="123"/>
      <c r="BR273" s="123"/>
      <c r="BS273" s="123"/>
      <c r="BT273" s="143"/>
      <c r="BU273" s="123"/>
      <c r="BV273" s="123"/>
      <c r="BW273" s="123"/>
      <c r="BX273" s="143"/>
      <c r="BY273" s="123"/>
      <c r="BZ273" s="143"/>
      <c r="CA273" s="123"/>
      <c r="CB273" s="143"/>
      <c r="CC273" s="123"/>
      <c r="CD273" s="146"/>
      <c r="CE273" s="123"/>
      <c r="CF273" s="143"/>
      <c r="CG273" s="132"/>
      <c r="CH273" s="143"/>
      <c r="CI273" s="123"/>
      <c r="CJ273" s="127"/>
      <c r="CK273" s="123"/>
      <c r="CL273" s="123"/>
      <c r="CM273" s="130"/>
      <c r="CN273" s="143"/>
      <c r="CO273" s="123"/>
      <c r="CP273" s="143"/>
      <c r="CQ273" s="123"/>
      <c r="CR273" s="143"/>
      <c r="CS273" s="123"/>
      <c r="CT273" s="143"/>
      <c r="CU273" s="127"/>
      <c r="CV273" s="127"/>
      <c r="CW273" s="126">
        <f t="shared" si="437"/>
        <v>6</v>
      </c>
      <c r="CX273" s="126">
        <f t="shared" si="437"/>
        <v>3927961.5893974677</v>
      </c>
    </row>
    <row r="274" spans="1:102" ht="60" x14ac:dyDescent="0.25">
      <c r="A274" s="91"/>
      <c r="B274" s="116">
        <v>213</v>
      </c>
      <c r="C274" s="202" t="s">
        <v>666</v>
      </c>
      <c r="D274" s="148" t="s">
        <v>667</v>
      </c>
      <c r="E274" s="95">
        <v>28004</v>
      </c>
      <c r="F274" s="96">
        <v>29405</v>
      </c>
      <c r="G274" s="149">
        <v>19.34</v>
      </c>
      <c r="H274" s="107">
        <v>1</v>
      </c>
      <c r="I274" s="108"/>
      <c r="J274" s="108"/>
      <c r="K274" s="108"/>
      <c r="L274" s="163">
        <v>1.0999999999999999E-2</v>
      </c>
      <c r="M274" s="120">
        <v>1.4</v>
      </c>
      <c r="N274" s="120">
        <v>1.68</v>
      </c>
      <c r="O274" s="120">
        <v>2.23</v>
      </c>
      <c r="P274" s="121">
        <v>2.57</v>
      </c>
      <c r="Q274" s="122"/>
      <c r="R274" s="143">
        <f t="shared" si="404"/>
        <v>0</v>
      </c>
      <c r="S274" s="157"/>
      <c r="T274" s="144">
        <f>(S274/12*2*$E274*$G274*((1-$L274)+$L274*$M274*$R$11*$H274))+(S274/12*10*$F274*$G274*((1-$L274)+$L274*$M274*$R$11*$H274))</f>
        <v>0</v>
      </c>
      <c r="U274" s="143"/>
      <c r="V274" s="143">
        <f t="shared" si="405"/>
        <v>0</v>
      </c>
      <c r="W274" s="123"/>
      <c r="X274" s="143">
        <f t="shared" si="406"/>
        <v>0</v>
      </c>
      <c r="Y274" s="123">
        <v>65</v>
      </c>
      <c r="Z274" s="143">
        <f t="shared" si="407"/>
        <v>37025536.697809838</v>
      </c>
      <c r="AA274" s="123"/>
      <c r="AB274" s="143">
        <f t="shared" si="408"/>
        <v>0</v>
      </c>
      <c r="AC274" s="123"/>
      <c r="AD274" s="123"/>
      <c r="AE274" s="123"/>
      <c r="AF274" s="143">
        <f t="shared" si="409"/>
        <v>0</v>
      </c>
      <c r="AG274" s="123">
        <v>0</v>
      </c>
      <c r="AH274" s="143">
        <f t="shared" si="410"/>
        <v>0</v>
      </c>
      <c r="AI274" s="123"/>
      <c r="AJ274" s="143">
        <f t="shared" si="411"/>
        <v>0</v>
      </c>
      <c r="AK274" s="123"/>
      <c r="AL274" s="143">
        <f t="shared" si="412"/>
        <v>0</v>
      </c>
      <c r="AM274" s="129">
        <v>32</v>
      </c>
      <c r="AN274" s="143">
        <f t="shared" si="413"/>
        <v>18302534.297207039</v>
      </c>
      <c r="AO274" s="130"/>
      <c r="AP274" s="143">
        <f t="shared" si="414"/>
        <v>0</v>
      </c>
      <c r="AQ274" s="143">
        <v>0</v>
      </c>
      <c r="AR274" s="143">
        <v>0</v>
      </c>
      <c r="AS274" s="123"/>
      <c r="AT274" s="123"/>
      <c r="AU274" s="123"/>
      <c r="AV274" s="123"/>
      <c r="AW274" s="123"/>
      <c r="AX274" s="143">
        <f t="shared" si="415"/>
        <v>0</v>
      </c>
      <c r="AY274" s="131">
        <v>0</v>
      </c>
      <c r="AZ274" s="143">
        <f t="shared" si="416"/>
        <v>0</v>
      </c>
      <c r="BA274" s="123"/>
      <c r="BB274" s="143">
        <f t="shared" si="417"/>
        <v>0</v>
      </c>
      <c r="BC274" s="123"/>
      <c r="BD274" s="146">
        <f t="shared" si="438"/>
        <v>0</v>
      </c>
      <c r="BE274" s="123"/>
      <c r="BF274" s="143">
        <f t="shared" si="418"/>
        <v>0</v>
      </c>
      <c r="BG274" s="123"/>
      <c r="BH274" s="143">
        <f t="shared" si="419"/>
        <v>0</v>
      </c>
      <c r="BI274" s="123"/>
      <c r="BJ274" s="143">
        <f t="shared" si="420"/>
        <v>0</v>
      </c>
      <c r="BK274" s="123"/>
      <c r="BL274" s="143">
        <f t="shared" si="421"/>
        <v>0</v>
      </c>
      <c r="BM274" s="123"/>
      <c r="BN274" s="143">
        <f t="shared" si="422"/>
        <v>0</v>
      </c>
      <c r="BO274" s="123"/>
      <c r="BP274" s="143">
        <f t="shared" si="423"/>
        <v>0</v>
      </c>
      <c r="BQ274" s="123"/>
      <c r="BR274" s="123"/>
      <c r="BS274" s="123"/>
      <c r="BT274" s="143">
        <f t="shared" si="424"/>
        <v>0</v>
      </c>
      <c r="BU274" s="123"/>
      <c r="BV274" s="123"/>
      <c r="BW274" s="123"/>
      <c r="BX274" s="143">
        <f t="shared" si="425"/>
        <v>0</v>
      </c>
      <c r="BY274" s="123"/>
      <c r="BZ274" s="143">
        <f t="shared" si="426"/>
        <v>0</v>
      </c>
      <c r="CA274" s="123"/>
      <c r="CB274" s="143">
        <f t="shared" si="427"/>
        <v>0</v>
      </c>
      <c r="CC274" s="123"/>
      <c r="CD274" s="146">
        <f t="shared" si="428"/>
        <v>0</v>
      </c>
      <c r="CE274" s="123"/>
      <c r="CF274" s="143">
        <f t="shared" si="429"/>
        <v>0</v>
      </c>
      <c r="CG274" s="132"/>
      <c r="CH274" s="143">
        <f t="shared" si="430"/>
        <v>0</v>
      </c>
      <c r="CI274" s="123"/>
      <c r="CJ274" s="127"/>
      <c r="CK274" s="123"/>
      <c r="CL274" s="123"/>
      <c r="CM274" s="130"/>
      <c r="CN274" s="143">
        <f t="shared" si="431"/>
        <v>0</v>
      </c>
      <c r="CO274" s="123"/>
      <c r="CP274" s="143">
        <f t="shared" si="432"/>
        <v>0</v>
      </c>
      <c r="CQ274" s="123"/>
      <c r="CR274" s="143">
        <f t="shared" si="433"/>
        <v>0</v>
      </c>
      <c r="CS274" s="123"/>
      <c r="CT274" s="143">
        <f t="shared" si="434"/>
        <v>0</v>
      </c>
      <c r="CU274" s="127"/>
      <c r="CV274" s="127"/>
      <c r="CW274" s="126">
        <f t="shared" si="437"/>
        <v>97</v>
      </c>
      <c r="CX274" s="126">
        <f t="shared" si="437"/>
        <v>55328070.995016873</v>
      </c>
    </row>
    <row r="275" spans="1:102" ht="60" x14ac:dyDescent="0.25">
      <c r="A275" s="91"/>
      <c r="B275" s="116">
        <v>214</v>
      </c>
      <c r="C275" s="202" t="s">
        <v>668</v>
      </c>
      <c r="D275" s="148" t="s">
        <v>669</v>
      </c>
      <c r="E275" s="95">
        <v>28004</v>
      </c>
      <c r="F275" s="96">
        <v>29405</v>
      </c>
      <c r="G275" s="149">
        <v>34.75</v>
      </c>
      <c r="H275" s="107">
        <v>1</v>
      </c>
      <c r="I275" s="108"/>
      <c r="J275" s="108"/>
      <c r="K275" s="108"/>
      <c r="L275" s="163">
        <v>6.1000000000000004E-3</v>
      </c>
      <c r="M275" s="120">
        <v>1.4</v>
      </c>
      <c r="N275" s="120">
        <v>1.68</v>
      </c>
      <c r="O275" s="120">
        <v>2.23</v>
      </c>
      <c r="P275" s="121">
        <v>2.57</v>
      </c>
      <c r="Q275" s="122"/>
      <c r="R275" s="143">
        <f t="shared" si="404"/>
        <v>0</v>
      </c>
      <c r="S275" s="157"/>
      <c r="T275" s="144">
        <f>(S275/12*2*$E275*$G275*((1-$L275)+$L275*$M275*$R$11*$H275))+(S275/12*10*$F275*$G275*((1-$L275)+$L275*$M275*$R$11*$H275))</f>
        <v>0</v>
      </c>
      <c r="U275" s="143"/>
      <c r="V275" s="143">
        <f t="shared" si="405"/>
        <v>0</v>
      </c>
      <c r="W275" s="123"/>
      <c r="X275" s="143">
        <f t="shared" si="406"/>
        <v>0</v>
      </c>
      <c r="Y275" s="123"/>
      <c r="Z275" s="143">
        <f t="shared" si="407"/>
        <v>0</v>
      </c>
      <c r="AA275" s="123"/>
      <c r="AB275" s="143">
        <f t="shared" si="408"/>
        <v>0</v>
      </c>
      <c r="AC275" s="123"/>
      <c r="AD275" s="123"/>
      <c r="AE275" s="123"/>
      <c r="AF275" s="143">
        <f t="shared" si="409"/>
        <v>0</v>
      </c>
      <c r="AG275" s="123">
        <v>0</v>
      </c>
      <c r="AH275" s="143">
        <f t="shared" si="410"/>
        <v>0</v>
      </c>
      <c r="AI275" s="123"/>
      <c r="AJ275" s="143">
        <f t="shared" si="411"/>
        <v>0</v>
      </c>
      <c r="AK275" s="123"/>
      <c r="AL275" s="143">
        <f t="shared" si="412"/>
        <v>0</v>
      </c>
      <c r="AM275" s="129"/>
      <c r="AN275" s="143">
        <f t="shared" si="413"/>
        <v>0</v>
      </c>
      <c r="AO275" s="130"/>
      <c r="AP275" s="143">
        <f t="shared" si="414"/>
        <v>0</v>
      </c>
      <c r="AQ275" s="143">
        <v>0</v>
      </c>
      <c r="AR275" s="143">
        <v>0</v>
      </c>
      <c r="AS275" s="123"/>
      <c r="AT275" s="123"/>
      <c r="AU275" s="123"/>
      <c r="AV275" s="123"/>
      <c r="AW275" s="123"/>
      <c r="AX275" s="143">
        <f t="shared" si="415"/>
        <v>0</v>
      </c>
      <c r="AY275" s="131">
        <v>0</v>
      </c>
      <c r="AZ275" s="143">
        <f t="shared" si="416"/>
        <v>0</v>
      </c>
      <c r="BA275" s="123"/>
      <c r="BB275" s="143">
        <f t="shared" si="417"/>
        <v>0</v>
      </c>
      <c r="BC275" s="123"/>
      <c r="BD275" s="146">
        <f t="shared" si="438"/>
        <v>0</v>
      </c>
      <c r="BE275" s="123"/>
      <c r="BF275" s="143">
        <f t="shared" si="418"/>
        <v>0</v>
      </c>
      <c r="BG275" s="123"/>
      <c r="BH275" s="143">
        <f t="shared" si="419"/>
        <v>0</v>
      </c>
      <c r="BI275" s="123"/>
      <c r="BJ275" s="143">
        <f t="shared" si="420"/>
        <v>0</v>
      </c>
      <c r="BK275" s="123"/>
      <c r="BL275" s="143">
        <f t="shared" si="421"/>
        <v>0</v>
      </c>
      <c r="BM275" s="123"/>
      <c r="BN275" s="143">
        <f t="shared" si="422"/>
        <v>0</v>
      </c>
      <c r="BO275" s="123"/>
      <c r="BP275" s="143">
        <f t="shared" si="423"/>
        <v>0</v>
      </c>
      <c r="BQ275" s="123"/>
      <c r="BR275" s="123"/>
      <c r="BS275" s="123"/>
      <c r="BT275" s="143">
        <f t="shared" si="424"/>
        <v>0</v>
      </c>
      <c r="BU275" s="123"/>
      <c r="BV275" s="123"/>
      <c r="BW275" s="123"/>
      <c r="BX275" s="143">
        <f t="shared" si="425"/>
        <v>0</v>
      </c>
      <c r="BY275" s="123"/>
      <c r="BZ275" s="143">
        <f t="shared" si="426"/>
        <v>0</v>
      </c>
      <c r="CA275" s="123"/>
      <c r="CB275" s="143">
        <f t="shared" si="427"/>
        <v>0</v>
      </c>
      <c r="CC275" s="123"/>
      <c r="CD275" s="146">
        <f t="shared" si="428"/>
        <v>0</v>
      </c>
      <c r="CE275" s="123"/>
      <c r="CF275" s="143">
        <f t="shared" si="429"/>
        <v>0</v>
      </c>
      <c r="CG275" s="132"/>
      <c r="CH275" s="143">
        <f t="shared" si="430"/>
        <v>0</v>
      </c>
      <c r="CI275" s="123"/>
      <c r="CJ275" s="127"/>
      <c r="CK275" s="123"/>
      <c r="CL275" s="123"/>
      <c r="CM275" s="130"/>
      <c r="CN275" s="143">
        <f t="shared" si="431"/>
        <v>0</v>
      </c>
      <c r="CO275" s="123"/>
      <c r="CP275" s="143">
        <f t="shared" si="432"/>
        <v>0</v>
      </c>
      <c r="CQ275" s="123"/>
      <c r="CR275" s="143">
        <f t="shared" si="433"/>
        <v>0</v>
      </c>
      <c r="CS275" s="123"/>
      <c r="CT275" s="143">
        <f t="shared" si="434"/>
        <v>0</v>
      </c>
      <c r="CU275" s="127"/>
      <c r="CV275" s="127"/>
      <c r="CW275" s="126">
        <f t="shared" si="437"/>
        <v>0</v>
      </c>
      <c r="CX275" s="126">
        <f t="shared" si="437"/>
        <v>0</v>
      </c>
    </row>
    <row r="276" spans="1:102" ht="15.75" customHeight="1" x14ac:dyDescent="0.25">
      <c r="A276" s="109">
        <v>20</v>
      </c>
      <c r="B276" s="150"/>
      <c r="C276" s="93" t="s">
        <v>670</v>
      </c>
      <c r="D276" s="164" t="s">
        <v>671</v>
      </c>
      <c r="E276" s="95">
        <v>28004</v>
      </c>
      <c r="F276" s="96">
        <v>29405</v>
      </c>
      <c r="G276" s="151">
        <v>0.87</v>
      </c>
      <c r="H276" s="166"/>
      <c r="I276" s="108"/>
      <c r="J276" s="108"/>
      <c r="K276" s="108"/>
      <c r="L276" s="111"/>
      <c r="M276" s="112">
        <v>1.4</v>
      </c>
      <c r="N276" s="112">
        <v>1.68</v>
      </c>
      <c r="O276" s="112">
        <v>2.23</v>
      </c>
      <c r="P276" s="113">
        <v>2.57</v>
      </c>
      <c r="Q276" s="103">
        <f>SUM(Q277:Q286)</f>
        <v>2151</v>
      </c>
      <c r="R276" s="104">
        <f>SUM(R277:R286)</f>
        <v>95297459.443900004</v>
      </c>
      <c r="S276" s="114">
        <f t="shared" ref="S276:CD276" si="446">SUM(S277:S286)</f>
        <v>10</v>
      </c>
      <c r="T276" s="115">
        <f t="shared" si="446"/>
        <v>330409.53458333336</v>
      </c>
      <c r="U276" s="104">
        <f t="shared" si="446"/>
        <v>12</v>
      </c>
      <c r="V276" s="104">
        <f t="shared" si="446"/>
        <v>513131.86586666654</v>
      </c>
      <c r="W276" s="104">
        <f t="shared" si="446"/>
        <v>0</v>
      </c>
      <c r="X276" s="104">
        <f t="shared" si="446"/>
        <v>0</v>
      </c>
      <c r="Y276" s="104">
        <f t="shared" si="446"/>
        <v>1</v>
      </c>
      <c r="Z276" s="104">
        <f t="shared" si="446"/>
        <v>42178.126899999996</v>
      </c>
      <c r="AA276" s="104">
        <f t="shared" si="446"/>
        <v>0</v>
      </c>
      <c r="AB276" s="104">
        <f t="shared" si="446"/>
        <v>0</v>
      </c>
      <c r="AC276" s="104">
        <f t="shared" si="446"/>
        <v>0</v>
      </c>
      <c r="AD276" s="104">
        <f t="shared" si="446"/>
        <v>0</v>
      </c>
      <c r="AE276" s="104">
        <f t="shared" si="446"/>
        <v>0</v>
      </c>
      <c r="AF276" s="105">
        <f t="shared" si="446"/>
        <v>0</v>
      </c>
      <c r="AG276" s="104">
        <f t="shared" si="446"/>
        <v>9</v>
      </c>
      <c r="AH276" s="104">
        <f t="shared" si="446"/>
        <v>331471.52756666671</v>
      </c>
      <c r="AI276" s="106">
        <f t="shared" si="446"/>
        <v>5</v>
      </c>
      <c r="AJ276" s="104">
        <f t="shared" si="446"/>
        <v>219872.46720833334</v>
      </c>
      <c r="AK276" s="104">
        <f t="shared" si="446"/>
        <v>0</v>
      </c>
      <c r="AL276" s="104">
        <f t="shared" si="446"/>
        <v>0</v>
      </c>
      <c r="AM276" s="104">
        <f t="shared" si="446"/>
        <v>0</v>
      </c>
      <c r="AN276" s="104">
        <f t="shared" si="446"/>
        <v>0</v>
      </c>
      <c r="AO276" s="106">
        <f t="shared" si="446"/>
        <v>8</v>
      </c>
      <c r="AP276" s="104">
        <f t="shared" si="446"/>
        <v>272748.99036</v>
      </c>
      <c r="AQ276" s="104">
        <v>5</v>
      </c>
      <c r="AR276" s="104">
        <v>168107.95</v>
      </c>
      <c r="AS276" s="104">
        <f t="shared" si="446"/>
        <v>0</v>
      </c>
      <c r="AT276" s="104">
        <f t="shared" si="446"/>
        <v>0</v>
      </c>
      <c r="AU276" s="104">
        <f t="shared" si="446"/>
        <v>0</v>
      </c>
      <c r="AV276" s="104">
        <f t="shared" si="446"/>
        <v>0</v>
      </c>
      <c r="AW276" s="104">
        <f t="shared" si="446"/>
        <v>18</v>
      </c>
      <c r="AX276" s="104">
        <f t="shared" si="446"/>
        <v>397195.05419999996</v>
      </c>
      <c r="AY276" s="104">
        <f t="shared" si="446"/>
        <v>113</v>
      </c>
      <c r="AZ276" s="104">
        <f t="shared" si="446"/>
        <v>4251669.3095800001</v>
      </c>
      <c r="BA276" s="104">
        <f t="shared" si="446"/>
        <v>0</v>
      </c>
      <c r="BB276" s="104">
        <f t="shared" si="446"/>
        <v>0</v>
      </c>
      <c r="BC276" s="104">
        <f t="shared" si="446"/>
        <v>0</v>
      </c>
      <c r="BD276" s="104">
        <f t="shared" si="446"/>
        <v>0</v>
      </c>
      <c r="BE276" s="104">
        <f t="shared" si="446"/>
        <v>28</v>
      </c>
      <c r="BF276" s="104">
        <f t="shared" si="446"/>
        <v>601038.19999999995</v>
      </c>
      <c r="BG276" s="104">
        <f t="shared" si="446"/>
        <v>11</v>
      </c>
      <c r="BH276" s="104">
        <f t="shared" si="446"/>
        <v>272142.09035999997</v>
      </c>
      <c r="BI276" s="104">
        <f t="shared" si="446"/>
        <v>16</v>
      </c>
      <c r="BJ276" s="104">
        <f t="shared" si="446"/>
        <v>609896.97719999996</v>
      </c>
      <c r="BK276" s="104">
        <f t="shared" si="446"/>
        <v>20</v>
      </c>
      <c r="BL276" s="104">
        <f t="shared" si="446"/>
        <v>843620.93592000008</v>
      </c>
      <c r="BM276" s="104">
        <f t="shared" si="446"/>
        <v>25</v>
      </c>
      <c r="BN276" s="104">
        <f t="shared" si="446"/>
        <v>724911.77499999991</v>
      </c>
      <c r="BO276" s="104">
        <f t="shared" si="446"/>
        <v>1</v>
      </c>
      <c r="BP276" s="104">
        <f t="shared" si="446"/>
        <v>26305.712999999996</v>
      </c>
      <c r="BQ276" s="104">
        <f t="shared" si="446"/>
        <v>0</v>
      </c>
      <c r="BR276" s="104">
        <f t="shared" si="446"/>
        <v>0</v>
      </c>
      <c r="BS276" s="104">
        <f t="shared" si="446"/>
        <v>2</v>
      </c>
      <c r="BT276" s="104">
        <f t="shared" si="446"/>
        <v>69591.530399999989</v>
      </c>
      <c r="BU276" s="104">
        <f t="shared" si="446"/>
        <v>0</v>
      </c>
      <c r="BV276" s="104">
        <f t="shared" si="446"/>
        <v>0</v>
      </c>
      <c r="BW276" s="104">
        <f t="shared" si="446"/>
        <v>0</v>
      </c>
      <c r="BX276" s="104">
        <f t="shared" si="446"/>
        <v>0</v>
      </c>
      <c r="BY276" s="104">
        <f t="shared" si="446"/>
        <v>20</v>
      </c>
      <c r="BZ276" s="104">
        <f t="shared" si="446"/>
        <v>383896.94</v>
      </c>
      <c r="CA276" s="104">
        <f t="shared" si="446"/>
        <v>16</v>
      </c>
      <c r="CB276" s="104">
        <f t="shared" si="446"/>
        <v>380303.01119999995</v>
      </c>
      <c r="CC276" s="104">
        <f t="shared" si="446"/>
        <v>22</v>
      </c>
      <c r="CD276" s="104">
        <f t="shared" si="446"/>
        <v>526311.24233333324</v>
      </c>
      <c r="CE276" s="104">
        <f t="shared" ref="CE276:CX276" si="447">SUM(CE277:CE286)</f>
        <v>6</v>
      </c>
      <c r="CF276" s="104">
        <f t="shared" si="447"/>
        <v>194514.07500000001</v>
      </c>
      <c r="CG276" s="104">
        <f t="shared" si="447"/>
        <v>1492</v>
      </c>
      <c r="CH276" s="104">
        <f t="shared" si="447"/>
        <v>59021545.576560006</v>
      </c>
      <c r="CI276" s="104">
        <f t="shared" si="447"/>
        <v>0</v>
      </c>
      <c r="CJ276" s="104">
        <f t="shared" si="447"/>
        <v>0</v>
      </c>
      <c r="CK276" s="104">
        <f t="shared" si="447"/>
        <v>0</v>
      </c>
      <c r="CL276" s="104">
        <f t="shared" si="447"/>
        <v>0</v>
      </c>
      <c r="CM276" s="104">
        <f t="shared" si="447"/>
        <v>6</v>
      </c>
      <c r="CN276" s="104">
        <f t="shared" si="447"/>
        <v>156020.27419999999</v>
      </c>
      <c r="CO276" s="104">
        <f t="shared" si="447"/>
        <v>1</v>
      </c>
      <c r="CP276" s="104">
        <f t="shared" si="447"/>
        <v>35074.28</v>
      </c>
      <c r="CQ276" s="104">
        <f t="shared" si="447"/>
        <v>15</v>
      </c>
      <c r="CR276" s="104">
        <f t="shared" si="447"/>
        <v>595229.87174999993</v>
      </c>
      <c r="CS276" s="104">
        <f t="shared" si="447"/>
        <v>8</v>
      </c>
      <c r="CT276" s="104">
        <f t="shared" si="447"/>
        <v>371812.93814999994</v>
      </c>
      <c r="CU276" s="104">
        <f t="shared" si="447"/>
        <v>0</v>
      </c>
      <c r="CV276" s="104">
        <f t="shared" si="447"/>
        <v>0</v>
      </c>
      <c r="CW276" s="104">
        <f t="shared" si="447"/>
        <v>4021</v>
      </c>
      <c r="CX276" s="104">
        <f t="shared" si="447"/>
        <v>166636459.70123833</v>
      </c>
    </row>
    <row r="277" spans="1:102" ht="45" customHeight="1" x14ac:dyDescent="0.25">
      <c r="A277" s="91"/>
      <c r="B277" s="116">
        <v>215</v>
      </c>
      <c r="C277" s="117" t="s">
        <v>672</v>
      </c>
      <c r="D277" s="161" t="s">
        <v>673</v>
      </c>
      <c r="E277" s="95">
        <v>28004</v>
      </c>
      <c r="F277" s="96">
        <v>29405</v>
      </c>
      <c r="G277" s="119">
        <v>0.66</v>
      </c>
      <c r="H277" s="107">
        <v>1</v>
      </c>
      <c r="I277" s="108"/>
      <c r="J277" s="108"/>
      <c r="K277" s="108"/>
      <c r="L277" s="63"/>
      <c r="M277" s="120">
        <v>1.4</v>
      </c>
      <c r="N277" s="120">
        <v>1.68</v>
      </c>
      <c r="O277" s="120">
        <v>2.23</v>
      </c>
      <c r="P277" s="121">
        <v>2.57</v>
      </c>
      <c r="Q277" s="122">
        <v>50</v>
      </c>
      <c r="R277" s="123">
        <f>(Q277/12*2*$E277*$G277*$H277*$M277*$R$11)+(Q277/12*10*$F277*$G277*$H277*$M277*$R$11)</f>
        <v>1482495.6300000001</v>
      </c>
      <c r="S277" s="124"/>
      <c r="T277" s="125">
        <f>(S277/12*2*$E277*$G277*$H277*$M277*$R$11)+(S277/12*10*$F277*$G277*$H277*$M277*$R$11)</f>
        <v>0</v>
      </c>
      <c r="U277" s="123"/>
      <c r="V277" s="123">
        <f>(U277/12*2*$E277*$G277*$H277*$M277*$V$11)+(U277/12*10*$F277*$G277*$H277*$M277*$V$12)</f>
        <v>0</v>
      </c>
      <c r="W277" s="123"/>
      <c r="X277" s="126">
        <f>(W277/12*2*$E277*$G277*$H277*$M277*$X$11)+(W277/12*10*$F277*$G277*$H277*$M277*$X$12)</f>
        <v>0</v>
      </c>
      <c r="Y277" s="123"/>
      <c r="Z277" s="123">
        <f>(Y277/12*2*$E277*$G277*$H277*$M277*$Z$11)+(Y277/12*10*$F277*$G277*$H277*$M277*$Z$12)</f>
        <v>0</v>
      </c>
      <c r="AA277" s="123"/>
      <c r="AB277" s="123">
        <f>(AA277/12*2*$E277*$G277*$H277*$M277*$AB$11)+(AA277/12*10*$F277*$G277*$H277*$M277*$AB$11)</f>
        <v>0</v>
      </c>
      <c r="AC277" s="123"/>
      <c r="AD277" s="123"/>
      <c r="AE277" s="123"/>
      <c r="AF277" s="123">
        <f>(AE277/12*2*$E277*$G277*$H277*$M277*$AF$11)+(AE277/12*10*$F277*$G277*$H277*$M277*$AF$11)</f>
        <v>0</v>
      </c>
      <c r="AG277" s="135">
        <v>0</v>
      </c>
      <c r="AH277" s="136">
        <f>(AG277/12*2*$E277*$G277*$H277*$M277*$AH$11)+(AG277/12*10*$F277*$G277*$H277*$M277*$AH$11)</f>
        <v>0</v>
      </c>
      <c r="AI277" s="123"/>
      <c r="AJ277" s="123">
        <f t="shared" ref="AJ277:AJ280" si="448">(AI277/12*2*$E277*$G277*$H277*$M277*$AJ$11)+(AI277/12*5*$F277*$G277*$H277*$M277*$AJ$12)+(AI277/12*5*$F277*$G277*$H277*$M277*$AJ$13)</f>
        <v>0</v>
      </c>
      <c r="AK277" s="123"/>
      <c r="AL277" s="123">
        <f t="shared" ref="AL277:AL280" si="449">(AK277/12*2*$E277*$G277*$H277*$N277*$AL$11)+(AK277/12*5*$F277*$G277*$H277*$N277*$AL$12)++(AK277/12*5*$F277*$G277*$H277*$N277*$AL$13)</f>
        <v>0</v>
      </c>
      <c r="AM277" s="132"/>
      <c r="AN277" s="123">
        <f>(AM277/12*2*$E277*$G277*$H277*$N277*$AN$11)+(AM277/12*10*$F277*$G277*$H277*$N277*$AN$12)</f>
        <v>0</v>
      </c>
      <c r="AO277" s="130"/>
      <c r="AP277" s="127">
        <f>(AO277/12*2*$E277*$G277*$H277*$N277*$AP$11)+(AO277/12*10*$F277*$G277*$H277*$N277*$AP$11)</f>
        <v>0</v>
      </c>
      <c r="AQ277" s="127">
        <v>0</v>
      </c>
      <c r="AR277" s="127">
        <v>0</v>
      </c>
      <c r="AS277" s="123"/>
      <c r="AT277" s="123">
        <f>(AS277/12*2*$E277*$G277*$H277*$M277*$AT$11)+(AS277/12*10*$F277*$G277*$H277*$M277*$AT$11)</f>
        <v>0</v>
      </c>
      <c r="AU277" s="123"/>
      <c r="AV277" s="126">
        <f>(AU277/12*2*$E277*$G277*$H277*$M277*$AV$11)+(AU277/12*10*$F277*$G277*$H277*$M277*$AV$12)</f>
        <v>0</v>
      </c>
      <c r="AW277" s="123"/>
      <c r="AX277" s="123">
        <f>(AW277/12*2*$E277*$G277*$H277*$M277*$AX$11)+(AW277/12*10*$F277*$G277*$H277*$M277*$AX$12)</f>
        <v>0</v>
      </c>
      <c r="AY277" s="131">
        <v>0</v>
      </c>
      <c r="AZ277" s="123">
        <f>(AY277/12*2*$E277*$G277*$H277*$N277*$AZ$11)+(AY277/12*10*$F277*$G277*$H277*$N277*$AZ$11)</f>
        <v>0</v>
      </c>
      <c r="BA277" s="123"/>
      <c r="BB277" s="123">
        <f>(BA277/12*2*$E277*$G277*$H277*$N277*$BB$11)+(BA277/12*10*$F277*$G277*$H277*$N277*$BB$12)</f>
        <v>0</v>
      </c>
      <c r="BC277" s="123"/>
      <c r="BD277" s="126">
        <f>(BC277/12*2*$E277*$G277*$H277*$N277*$BD$11)+(BC277/12*10*$F277*$G277*$H277*$N277*$BD$12)</f>
        <v>0</v>
      </c>
      <c r="BE277" s="123"/>
      <c r="BF277" s="123">
        <f>(BE277/12*10*$F277*$G277*$H277*$N277*$BF$12)</f>
        <v>0</v>
      </c>
      <c r="BG277" s="123"/>
      <c r="BH277" s="123">
        <f>(BG277/12*2*$E277*$G277*$H277*$N277*$BH$11)+(BG277/12*10*$F277*$G277*$H277*$N277*$BH$11)</f>
        <v>0</v>
      </c>
      <c r="BI277" s="123"/>
      <c r="BJ277" s="126">
        <f>(BI277/12*2*$E277*$G277*$H277*$N277*$BJ$11)+(BI277/12*10*$F277*$G277*$H277*$N277*$BJ$11)</f>
        <v>0</v>
      </c>
      <c r="BK277" s="123"/>
      <c r="BL277" s="127">
        <f>(BK277/12*2*$E277*$G277*$H277*$N277*$BL$11)+(BK277/12*10*$F277*$G277*$H277*$N277*$BL$11)</f>
        <v>0</v>
      </c>
      <c r="BM277" s="123"/>
      <c r="BN277" s="123">
        <f>(BM277/12*2*$E277*$G277*$H277*$M277*$BN$11)+(BM277/12*10*$F277*$G277*$H277*$M277*$BN$11)</f>
        <v>0</v>
      </c>
      <c r="BO277" s="123"/>
      <c r="BP277" s="123">
        <f>(BO277/12*2*$E277*$G277*$H277*$M277*$BP$11)+(BO277/12*10*$F277*$G277*$H277*$M277*$BP$12)</f>
        <v>0</v>
      </c>
      <c r="BQ277" s="123"/>
      <c r="BR277" s="123">
        <f>(BQ277/12*2*$E277*$G277*$H277*$M277*$BR$11)+(BQ277/12*10*$F277*$G277*$H277*$M277*$BR$11)</f>
        <v>0</v>
      </c>
      <c r="BS277" s="123"/>
      <c r="BT277" s="123">
        <f>(BS277/12*2*$E277*$G277*$H277*$N277*$BT$11)+(BS277/12*10*$F277*$G277*$H277*$N277*$BT$11)</f>
        <v>0</v>
      </c>
      <c r="BU277" s="123"/>
      <c r="BV277" s="126">
        <f>(BU277/12*2*$E277*$G277*$H277*$M277*$BV$11)+(BU277/12*10*$F277*$G277*$H277*$M277*$BV$11)</f>
        <v>0</v>
      </c>
      <c r="BW277" s="123"/>
      <c r="BX277" s="123">
        <f>(BW277/12*2*$E277*$G277*$H277*$M277*$BX$11)+(BW277/12*10*$F277*$G277*$H277*$M277*$BX$11)</f>
        <v>0</v>
      </c>
      <c r="BY277" s="123"/>
      <c r="BZ277" s="123">
        <f>(BY277/12*2*$E277*$G277*$H277*$M277*$BZ$11)+(BY277/12*10*$F277*$G277*$H277*$M277*$BZ$11)</f>
        <v>0</v>
      </c>
      <c r="CA277" s="123"/>
      <c r="CB277" s="123">
        <f>(CA277/12*2*$E277*$G277*$H277*$M277*$CB$11)+(CA277/12*10*$F277*$G277*$H277*$M277*$CB$11)</f>
        <v>0</v>
      </c>
      <c r="CC277" s="123"/>
      <c r="CD277" s="123">
        <f>(CC277/12*2*$E277*$G277*$H277*$M277*$CD$11)+(CC277/12*10*$F277*$G277*$H277*$M277*$CD$11)</f>
        <v>0</v>
      </c>
      <c r="CE277" s="123"/>
      <c r="CF277" s="123">
        <f>(CE277/12*10*$F277*$G277*$H277*$N277*$CF$11)</f>
        <v>0</v>
      </c>
      <c r="CG277" s="132">
        <v>10</v>
      </c>
      <c r="CH277" s="123">
        <f>(CG277/12*2*$E277*$G277*$H277*$N277*$CH$11)+(CG277/12*10*$F277*$G277*$H277*$N277*$CH$11)</f>
        <v>291108.2328</v>
      </c>
      <c r="CI277" s="123"/>
      <c r="CJ277" s="127">
        <f>(CI277*$E277*$G277*$H277*$N277*CJ$11)</f>
        <v>0</v>
      </c>
      <c r="CK277" s="123"/>
      <c r="CL277" s="123">
        <f>(CK277/12*2*$E277*$G277*$H277*$N277*$CL$11)+(CK277/12*10*$F277*$G277*$H277*$N277*$CL$12)</f>
        <v>0</v>
      </c>
      <c r="CM277" s="130"/>
      <c r="CN277" s="123">
        <f>(CM277/12*2*$E277*$G277*$H277*$N277*$CN$11)+(CM277/12*10*$F277*$G277*$H277*$N277*$CN$11)</f>
        <v>0</v>
      </c>
      <c r="CO277" s="123"/>
      <c r="CP277" s="123">
        <f>(CO277/12*2*$E277*$G277*$H277*$N277*$CP$11)+(CO277/12*10*$F277*$G277*$H277*$N277*$CP$11)</f>
        <v>0</v>
      </c>
      <c r="CQ277" s="123"/>
      <c r="CR277" s="123">
        <f>(CQ277/12*2*$E277*$G277*$H277*$O277*$CR$11)+(CQ277/12*10*$F277*$G277*$H277*$O277*$CR$11)</f>
        <v>0</v>
      </c>
      <c r="CS277" s="123"/>
      <c r="CT277" s="133">
        <f>(CS277/12*2*$E277*$G277*$H277*$P277*$CT$11)+(CS277/12*10*$F277*$G277*$H277*$P277*$CT$11)</f>
        <v>0</v>
      </c>
      <c r="CU277" s="127"/>
      <c r="CV277" s="123">
        <f>(CU277*$E277*$G277*$H277*$M277*CV$11)/12*6+(CU277*$E277*$G277*$H277*1*CV$11)/12*6</f>
        <v>0</v>
      </c>
      <c r="CW277" s="126">
        <f t="shared" ref="CW277:CX286" si="450">SUM(Q277,S277,U277,W277,Y277,AA277,AC277,AE277,AG277,AM277,BQ277,AI277,AU277,CC277,AW277,AY277,AK277,BC277,AO277,AQ277,BE277,CE277,BG277,BI277,BK277,BS277,BM277,BO277,BU277,BW277,BY277,CA277,CG277,BA277,AS277,CI277,CK277,CM277,CO277,CQ277,CS277,CU277)</f>
        <v>60</v>
      </c>
      <c r="CX277" s="126">
        <f t="shared" si="450"/>
        <v>1773603.8628000002</v>
      </c>
    </row>
    <row r="278" spans="1:102" ht="30" customHeight="1" x14ac:dyDescent="0.25">
      <c r="A278" s="91"/>
      <c r="B278" s="116">
        <v>216</v>
      </c>
      <c r="C278" s="117" t="s">
        <v>674</v>
      </c>
      <c r="D278" s="161" t="s">
        <v>675</v>
      </c>
      <c r="E278" s="95">
        <v>28004</v>
      </c>
      <c r="F278" s="96">
        <v>29405</v>
      </c>
      <c r="G278" s="119">
        <v>0.47</v>
      </c>
      <c r="H278" s="107">
        <v>1</v>
      </c>
      <c r="I278" s="108"/>
      <c r="J278" s="108"/>
      <c r="K278" s="108"/>
      <c r="L278" s="63"/>
      <c r="M278" s="120">
        <v>1.4</v>
      </c>
      <c r="N278" s="120">
        <v>1.68</v>
      </c>
      <c r="O278" s="120">
        <v>2.23</v>
      </c>
      <c r="P278" s="121">
        <v>2.57</v>
      </c>
      <c r="Q278" s="122">
        <v>75</v>
      </c>
      <c r="R278" s="123">
        <f>(Q278/12*2*$E278*$G278*$H278*$M278*$R$11)+(Q278/12*10*$F278*$G278*$H278*$M278*$R$11)</f>
        <v>1583574.8774999999</v>
      </c>
      <c r="S278" s="124">
        <v>3</v>
      </c>
      <c r="T278" s="125">
        <f>(S278/12*2*$E278*$G278*$H278*$M278*$R$11)+(S278/12*10*$F278*$G278*$H278*$M278*$R$11)</f>
        <v>63342.9951</v>
      </c>
      <c r="U278" s="123"/>
      <c r="V278" s="123">
        <f>(U278/12*2*$E278*$G278*$H278*$M278*$V$11)+(U278/12*10*$F278*$G278*$H278*$M278*$V$12)</f>
        <v>0</v>
      </c>
      <c r="W278" s="123"/>
      <c r="X278" s="126">
        <f>(W278/12*2*$E278*$G278*$H278*$M278*$X$11)+(W278/12*10*$F278*$G278*$H278*$M278*$X$12)</f>
        <v>0</v>
      </c>
      <c r="Y278" s="123"/>
      <c r="Z278" s="123">
        <f>(Y278/12*2*$E278*$G278*$H278*$M278*$Z$11)+(Y278/12*10*$F278*$G278*$H278*$M278*$Z$12)</f>
        <v>0</v>
      </c>
      <c r="AA278" s="123"/>
      <c r="AB278" s="123">
        <f>(AA278/12*2*$E278*$G278*$H278*$M278*$AB$11)+(AA278/12*10*$F278*$G278*$H278*$M278*$AB$11)</f>
        <v>0</v>
      </c>
      <c r="AC278" s="123"/>
      <c r="AD278" s="123"/>
      <c r="AE278" s="123"/>
      <c r="AF278" s="123">
        <f>(AE278/12*2*$E278*$G278*$H278*$M278*$AF$11)+(AE278/12*10*$F278*$G278*$H278*$M278*$AF$11)</f>
        <v>0</v>
      </c>
      <c r="AG278" s="123">
        <v>0</v>
      </c>
      <c r="AH278" s="126">
        <f>(AG278/12*2*$E278*$G278*$H278*$M278*$AH$11)+(AG278/12*10*$F278*$G278*$H278*$M278*$AH$11)</f>
        <v>0</v>
      </c>
      <c r="AI278" s="123"/>
      <c r="AJ278" s="123">
        <f t="shared" si="448"/>
        <v>0</v>
      </c>
      <c r="AK278" s="123"/>
      <c r="AL278" s="123">
        <f t="shared" si="449"/>
        <v>0</v>
      </c>
      <c r="AM278" s="132"/>
      <c r="AN278" s="123">
        <f>(AM278/12*2*$E278*$G278*$H278*$N278*$AN$11)+(AM278/12*10*$F278*$G278*$H278*$N278*$AN$12)</f>
        <v>0</v>
      </c>
      <c r="AO278" s="130">
        <v>2</v>
      </c>
      <c r="AP278" s="127">
        <f>(AO278/12*2*$E278*$G278*$H278*$N278*$AP$11)+(AO278/12*10*$F278*$G278*$H278*$N278*$AP$11)</f>
        <v>50674.396079999999</v>
      </c>
      <c r="AQ278" s="127">
        <v>2</v>
      </c>
      <c r="AR278" s="127">
        <v>49863.16</v>
      </c>
      <c r="AS278" s="123"/>
      <c r="AT278" s="123">
        <f>(AS278/12*2*$E278*$G278*$H278*$M278*$AT$11)+(AS278/12*10*$F278*$G278*$H278*$M278*$AT$11)</f>
        <v>0</v>
      </c>
      <c r="AU278" s="123"/>
      <c r="AV278" s="126">
        <f>(AU278/12*2*$E278*$G278*$H278*$M278*$AV$11)+(AU278/12*10*$F278*$G278*$H278*$M278*$AV$12)</f>
        <v>0</v>
      </c>
      <c r="AW278" s="123">
        <v>18</v>
      </c>
      <c r="AX278" s="123">
        <f>(AW278/12*2*$E278*$G278*$H278*$M278*$AX$11)+(AW278/12*10*$F278*$G278*$H278*$M278*$AX$12)</f>
        <v>397195.05419999996</v>
      </c>
      <c r="AY278" s="131">
        <v>40</v>
      </c>
      <c r="AZ278" s="123">
        <f>(AY278/12*2*$E278*$G278*$H278*$N278*$AZ$11)+(AY278/12*10*$F278*$G278*$H278*$N278*$AZ$11)</f>
        <v>1013487.9216000002</v>
      </c>
      <c r="BA278" s="123"/>
      <c r="BB278" s="123">
        <f>(BA278/12*2*$E278*$G278*$H278*$N278*$BB$11)+(BA278/12*10*$F278*$G278*$H278*$N278*$BB$12)</f>
        <v>0</v>
      </c>
      <c r="BC278" s="123"/>
      <c r="BD278" s="126">
        <f>(BC278/12*2*$E278*$G278*$H278*$N278*$BD$11)+(BC278/12*10*$F278*$G278*$H278*$N278*$BD$12)</f>
        <v>0</v>
      </c>
      <c r="BE278" s="123">
        <v>22</v>
      </c>
      <c r="BF278" s="123">
        <f>(BE278/12*10*$F278*$G278*$H278*$N278*$BF$12)</f>
        <v>425666.77999999997</v>
      </c>
      <c r="BG278" s="123">
        <v>6</v>
      </c>
      <c r="BH278" s="123">
        <f>(BG278/12*2*$E278*$G278*$H278*$N278*$BH$11)+(BG278/12*10*$F278*$G278*$H278*$N278*$BH$11)</f>
        <v>124382.60856000001</v>
      </c>
      <c r="BI278" s="123">
        <v>4</v>
      </c>
      <c r="BJ278" s="126">
        <f>(BI278/12*2*$E278*$G278*$H278*$N278*$BJ$11)+(BI278/12*10*$F278*$G278*$H278*$N278*$BJ$11)</f>
        <v>110562.31871999998</v>
      </c>
      <c r="BK278" s="123">
        <v>3</v>
      </c>
      <c r="BL278" s="127">
        <f>(BK278/12*2*$E278*$G278*$H278*$N278*$BL$11)+(BK278/12*10*$F278*$G278*$H278*$N278*$BL$11)</f>
        <v>82921.73904</v>
      </c>
      <c r="BM278" s="123"/>
      <c r="BN278" s="123">
        <f>(BM278/12*2*$E278*$G278*$H278*$M278*$BN$11)+(BM278/12*10*$F278*$G278*$H278*$M278*$BN$11)</f>
        <v>0</v>
      </c>
      <c r="BO278" s="123"/>
      <c r="BP278" s="123">
        <f>(BO278/12*2*$E278*$G278*$H278*$M278*$BP$11)+(BO278/12*10*$F278*$G278*$H278*$M278*$BP$12)</f>
        <v>0</v>
      </c>
      <c r="BQ278" s="123"/>
      <c r="BR278" s="123">
        <f>(BQ278/12*2*$E278*$G278*$H278*$M278*$BR$11)+(BQ278/12*10*$F278*$G278*$H278*$M278*$BR$11)</f>
        <v>0</v>
      </c>
      <c r="BS278" s="123"/>
      <c r="BT278" s="123">
        <f>(BS278/12*2*$E278*$G278*$H278*$N278*$BT$11)+(BS278/12*10*$F278*$G278*$H278*$N278*$BT$11)</f>
        <v>0</v>
      </c>
      <c r="BU278" s="123"/>
      <c r="BV278" s="126">
        <f>(BU278/12*2*$E278*$G278*$H278*$M278*$BV$11)+(BU278/12*10*$F278*$G278*$H278*$M278*$BV$11)</f>
        <v>0</v>
      </c>
      <c r="BW278" s="123"/>
      <c r="BX278" s="123">
        <f>(BW278/12*2*$E278*$G278*$H278*$M278*$BX$11)+(BW278/12*10*$F278*$G278*$H278*$M278*$BX$11)</f>
        <v>0</v>
      </c>
      <c r="BY278" s="123">
        <v>20</v>
      </c>
      <c r="BZ278" s="123">
        <f>(BY278/12*2*$E278*$G278*$H278*$M278*$BZ$11)+(BY278/12*10*$F278*$G278*$H278*$M278*$BZ$11)</f>
        <v>383896.94</v>
      </c>
      <c r="CA278" s="123">
        <v>15</v>
      </c>
      <c r="CB278" s="123">
        <f>(CA278/12*2*$E278*$G278*$H278*$M278*$CB$11)+(CA278/12*10*$F278*$G278*$H278*$M278*$CB$11)</f>
        <v>345507.24599999998</v>
      </c>
      <c r="CC278" s="123">
        <v>12</v>
      </c>
      <c r="CD278" s="123">
        <f>(CC278/12*2*$E278*$G278*$H278*$M278*$CD$11)+(CC278/12*10*$F278*$G278*$H278*$M278*$CD$11)</f>
        <v>230338.16399999999</v>
      </c>
      <c r="CE278" s="123"/>
      <c r="CF278" s="123">
        <f>(CE278/12*10*$F278*$G278*$H278*$N278*$CF$11)</f>
        <v>0</v>
      </c>
      <c r="CG278" s="132">
        <v>222</v>
      </c>
      <c r="CH278" s="123">
        <f>(CG278/12*2*$E278*$G278*$H278*$N278*$CH$11)+(CG278/12*10*$F278*$G278*$H278*$N278*$CH$11)</f>
        <v>4602156.5167200007</v>
      </c>
      <c r="CI278" s="123"/>
      <c r="CJ278" s="127">
        <f>(CI278*$E278*$G278*$H278*$N278*CJ$11)</f>
        <v>0</v>
      </c>
      <c r="CK278" s="123"/>
      <c r="CL278" s="123">
        <f>(CK278/12*2*$E278*$G278*$H278*$N278*$CL$11)+(CK278/12*10*$F278*$G278*$H278*$N278*$CL$12)</f>
        <v>0</v>
      </c>
      <c r="CM278" s="130">
        <v>5</v>
      </c>
      <c r="CN278" s="123">
        <f>(CM278/12*2*$E278*$G278*$H278*$N278*$CN$11)+(CM278/12*10*$F278*$G278*$H278*$N278*$CN$11)</f>
        <v>115169.08200000001</v>
      </c>
      <c r="CO278" s="123"/>
      <c r="CP278" s="123">
        <f>(CO278/12*2*$E278*$G278*$H278*$N278*$CP$11)+(CO278/12*10*$F278*$G278*$H278*$N278*$CP$11)</f>
        <v>0</v>
      </c>
      <c r="CQ278" s="123"/>
      <c r="CR278" s="123">
        <f>(CQ278/12*2*$E278*$G278*$H278*$O278*$CR$11)+(CQ278/12*10*$F278*$G278*$H278*$O278*$CR$11)</f>
        <v>0</v>
      </c>
      <c r="CS278" s="123">
        <v>2</v>
      </c>
      <c r="CT278" s="133">
        <f>(CS278/12*2*$E278*$G278*$H278*$P278*$CT$11)+(CS278/12*10*$F278*$G278*$H278*$P278*$CT$11)</f>
        <v>70472.509699999995</v>
      </c>
      <c r="CU278" s="127"/>
      <c r="CV278" s="123">
        <f>(CU278*$E278*$G278*$H278*$M278*CV$11)/12*6+(CU278*$E278*$G278*$H278*1*CV$11)/12*6</f>
        <v>0</v>
      </c>
      <c r="CW278" s="126">
        <f t="shared" si="450"/>
        <v>451</v>
      </c>
      <c r="CX278" s="126">
        <f t="shared" si="450"/>
        <v>9649212.309220003</v>
      </c>
    </row>
    <row r="279" spans="1:102" ht="22.5" customHeight="1" x14ac:dyDescent="0.25">
      <c r="A279" s="91"/>
      <c r="B279" s="116">
        <v>217</v>
      </c>
      <c r="C279" s="117" t="s">
        <v>676</v>
      </c>
      <c r="D279" s="161" t="s">
        <v>677</v>
      </c>
      <c r="E279" s="95">
        <v>28004</v>
      </c>
      <c r="F279" s="96">
        <v>29405</v>
      </c>
      <c r="G279" s="119">
        <v>0.61</v>
      </c>
      <c r="H279" s="107">
        <v>1</v>
      </c>
      <c r="I279" s="203"/>
      <c r="J279" s="203"/>
      <c r="K279" s="203"/>
      <c r="L279" s="63"/>
      <c r="M279" s="120">
        <v>1.4</v>
      </c>
      <c r="N279" s="120">
        <v>1.68</v>
      </c>
      <c r="O279" s="120">
        <v>2.23</v>
      </c>
      <c r="P279" s="121">
        <v>2.57</v>
      </c>
      <c r="Q279" s="122">
        <v>50</v>
      </c>
      <c r="R279" s="123">
        <f>(Q279/12*2*$E279*$G279*$H279*$M279*$R$11)+(Q279/12*10*$F279*$G279*$H279*$M279*$R$11)</f>
        <v>1370185.3550000002</v>
      </c>
      <c r="S279" s="124"/>
      <c r="T279" s="125">
        <f>(S279/12*2*$E279*$G279*$H279*$M279*$R$11)+(S279/12*10*$F279*$G279*$H279*$M279*$R$11)</f>
        <v>0</v>
      </c>
      <c r="U279" s="123"/>
      <c r="V279" s="123">
        <f>(U279/12*2*$E279*$G279*$H279*$M279*$V$11)+(U279/12*10*$F279*$G279*$H279*$M279*$V$12)</f>
        <v>0</v>
      </c>
      <c r="W279" s="123"/>
      <c r="X279" s="126">
        <f>(W279/12*2*$E279*$G279*$H279*$M279*$X$11)+(W279/12*10*$F279*$G279*$H279*$M279*$X$12)</f>
        <v>0</v>
      </c>
      <c r="Y279" s="123"/>
      <c r="Z279" s="123">
        <f>(Y279/12*2*$E279*$G279*$H279*$M279*$Z$11)+(Y279/12*10*$F279*$G279*$H279*$M279*$Z$12)</f>
        <v>0</v>
      </c>
      <c r="AA279" s="123"/>
      <c r="AB279" s="123">
        <f>(AA279/12*2*$E279*$G279*$H279*$M279*$AB$11)+(AA279/12*10*$F279*$G279*$H279*$M279*$AB$11)</f>
        <v>0</v>
      </c>
      <c r="AC279" s="123"/>
      <c r="AD279" s="123"/>
      <c r="AE279" s="123"/>
      <c r="AF279" s="123">
        <f>(AE279/12*2*$E279*$G279*$H279*$M279*$AF$11)+(AE279/12*10*$F279*$G279*$H279*$M279*$AF$11)</f>
        <v>0</v>
      </c>
      <c r="AG279" s="123">
        <v>0</v>
      </c>
      <c r="AH279" s="126">
        <f>(AG279/12*2*$E279*$G279*$H279*$M279*$AH$11)+(AG279/12*10*$F279*$G279*$H279*$M279*$AH$11)</f>
        <v>0</v>
      </c>
      <c r="AI279" s="123"/>
      <c r="AJ279" s="123">
        <f t="shared" si="448"/>
        <v>0</v>
      </c>
      <c r="AK279" s="123"/>
      <c r="AL279" s="123">
        <f t="shared" si="449"/>
        <v>0</v>
      </c>
      <c r="AM279" s="132"/>
      <c r="AN279" s="123">
        <f>(AM279/12*2*$E279*$G279*$H279*$N279*$AN$11)+(AM279/12*10*$F279*$G279*$H279*$N279*$AN$12)</f>
        <v>0</v>
      </c>
      <c r="AO279" s="130">
        <v>2</v>
      </c>
      <c r="AP279" s="127">
        <f>(AO279/12*2*$E279*$G279*$H279*$N279*$AP$11)+(AO279/12*10*$F279*$G279*$H279*$N279*$AP$11)</f>
        <v>65768.897039999996</v>
      </c>
      <c r="AQ279" s="127">
        <v>0</v>
      </c>
      <c r="AR279" s="127">
        <v>0</v>
      </c>
      <c r="AS279" s="123"/>
      <c r="AT279" s="123">
        <f>(AS279/12*2*$E279*$G279*$H279*$M279*$AT$11)+(AS279/12*10*$F279*$G279*$H279*$M279*$AT$11)</f>
        <v>0</v>
      </c>
      <c r="AU279" s="123"/>
      <c r="AV279" s="126">
        <f>(AU279/12*2*$E279*$G279*$H279*$M279*$AV$11)+(AU279/12*10*$F279*$G279*$H279*$M279*$AV$12)</f>
        <v>0</v>
      </c>
      <c r="AW279" s="123"/>
      <c r="AX279" s="123">
        <f>(AW279/12*2*$E279*$G279*$H279*$M279*$AX$11)+(AW279/12*10*$F279*$G279*$H279*$M279*$AX$12)</f>
        <v>0</v>
      </c>
      <c r="AY279" s="131">
        <v>10</v>
      </c>
      <c r="AZ279" s="123">
        <f>(AY279/12*2*$E279*$G279*$H279*$N279*$AZ$11)+(AY279/12*10*$F279*$G279*$H279*$N279*$AZ$11)</f>
        <v>328844.4852</v>
      </c>
      <c r="BA279" s="123"/>
      <c r="BB279" s="123">
        <f>(BA279/12*2*$E279*$G279*$H279*$N279*$BB$11)+(BA279/12*10*$F279*$G279*$H279*$N279*$BB$12)</f>
        <v>0</v>
      </c>
      <c r="BC279" s="123"/>
      <c r="BD279" s="126">
        <f>(BC279/12*2*$E279*$G279*$H279*$N279*$BD$11)+(BC279/12*10*$F279*$G279*$H279*$N279*$BD$12)</f>
        <v>0</v>
      </c>
      <c r="BE279" s="123"/>
      <c r="BF279" s="123">
        <f>(BE279/12*10*$F279*$G279*$H279*$N279*$BF$12)</f>
        <v>0</v>
      </c>
      <c r="BG279" s="123">
        <v>2</v>
      </c>
      <c r="BH279" s="123">
        <f>(BG279/12*2*$E279*$G279*$H279*$N279*$BH$11)+(BG279/12*10*$F279*$G279*$H279*$N279*$BH$11)</f>
        <v>53810.915759999996</v>
      </c>
      <c r="BI279" s="123">
        <v>4</v>
      </c>
      <c r="BJ279" s="126">
        <f>(BI279/12*2*$E279*$G279*$H279*$N279*$BJ$11)+(BI279/12*10*$F279*$G279*$H279*$N279*$BJ$11)</f>
        <v>143495.77535999997</v>
      </c>
      <c r="BK279" s="123"/>
      <c r="BL279" s="127">
        <f>(BK279/12*2*$E279*$G279*$H279*$N279*$BL$11)+(BK279/12*10*$F279*$G279*$H279*$N279*$BL$11)</f>
        <v>0</v>
      </c>
      <c r="BM279" s="123"/>
      <c r="BN279" s="123">
        <f>(BM279/12*2*$E279*$G279*$H279*$M279*$BN$11)+(BM279/12*10*$F279*$G279*$H279*$M279*$BN$11)</f>
        <v>0</v>
      </c>
      <c r="BO279" s="123"/>
      <c r="BP279" s="123">
        <f>(BO279/12*2*$E279*$G279*$H279*$M279*$BP$11)+(BO279/12*10*$F279*$G279*$H279*$M279*$BP$12)</f>
        <v>0</v>
      </c>
      <c r="BQ279" s="123"/>
      <c r="BR279" s="123">
        <f>(BQ279/12*2*$E279*$G279*$H279*$M279*$BR$11)+(BQ279/12*10*$F279*$G279*$H279*$M279*$BR$11)</f>
        <v>0</v>
      </c>
      <c r="BS279" s="123"/>
      <c r="BT279" s="123">
        <f>(BS279/12*2*$E279*$G279*$H279*$N279*$BT$11)+(BS279/12*10*$F279*$G279*$H279*$N279*$BT$11)</f>
        <v>0</v>
      </c>
      <c r="BU279" s="123"/>
      <c r="BV279" s="126">
        <f>(BU279/12*2*$E279*$G279*$H279*$M279*$BV$11)+(BU279/12*10*$F279*$G279*$H279*$M279*$BV$11)</f>
        <v>0</v>
      </c>
      <c r="BW279" s="123"/>
      <c r="BX279" s="123">
        <f>(BW279/12*2*$E279*$G279*$H279*$M279*$BX$11)+(BW279/12*10*$F279*$G279*$H279*$M279*$BX$11)</f>
        <v>0</v>
      </c>
      <c r="BY279" s="123"/>
      <c r="BZ279" s="123">
        <f>(BY279/12*2*$E279*$G279*$H279*$M279*$BZ$11)+(BY279/12*10*$F279*$G279*$H279*$M279*$BZ$11)</f>
        <v>0</v>
      </c>
      <c r="CA279" s="123"/>
      <c r="CB279" s="123">
        <f>(CA279/12*2*$E279*$G279*$H279*$M279*$CB$11)+(CA279/12*10*$F279*$G279*$H279*$M279*$CB$11)</f>
        <v>0</v>
      </c>
      <c r="CC279" s="123">
        <v>1</v>
      </c>
      <c r="CD279" s="123">
        <f>(CC279/12*2*$E279*$G279*$H279*$M279*$CD$11)+(CC279/12*10*$F279*$G279*$H279*$M279*$CD$11)</f>
        <v>24912.460999999992</v>
      </c>
      <c r="CE279" s="123"/>
      <c r="CF279" s="123">
        <f>(CE279/12*10*$F279*$G279*$H279*$N279*$CF$11)</f>
        <v>0</v>
      </c>
      <c r="CG279" s="132">
        <v>152</v>
      </c>
      <c r="CH279" s="123">
        <f>(CG279/12*2*$E279*$G279*$H279*$N279*$CH$11)+(CG279/12*10*$F279*$G279*$H279*$N279*$CH$11)</f>
        <v>4089629.5977599993</v>
      </c>
      <c r="CI279" s="123"/>
      <c r="CJ279" s="127">
        <f>(CI279*$E279*$G279*$H279*$N279*CJ$11)</f>
        <v>0</v>
      </c>
      <c r="CK279" s="123"/>
      <c r="CL279" s="123">
        <f>(CK279/12*2*$E279*$G279*$H279*$N279*$CL$11)+(CK279/12*10*$F279*$G279*$H279*$N279*$CL$12)</f>
        <v>0</v>
      </c>
      <c r="CM279" s="130"/>
      <c r="CN279" s="123">
        <f>(CM279/12*2*$E279*$G279*$H279*$N279*$CN$11)+(CM279/12*10*$F279*$G279*$H279*$N279*$CN$11)</f>
        <v>0</v>
      </c>
      <c r="CO279" s="123"/>
      <c r="CP279" s="123">
        <f>(CO279/12*2*$E279*$G279*$H279*$N279*$CP$11)+(CO279/12*10*$F279*$G279*$H279*$N279*$CP$11)</f>
        <v>0</v>
      </c>
      <c r="CQ279" s="123">
        <v>15</v>
      </c>
      <c r="CR279" s="123">
        <f>(CQ279/12*2*$E279*$G279*$H279*$O279*$CR$11)+(CQ279/12*10*$F279*$G279*$H279*$O279*$CR$11)</f>
        <v>595229.87174999993</v>
      </c>
      <c r="CS279" s="123">
        <v>3</v>
      </c>
      <c r="CT279" s="133">
        <f>(CS279/12*2*$E279*$G279*$H279*$P279*$CT$11)+(CS279/12*10*$F279*$G279*$H279*$P279*$CT$11)</f>
        <v>137196.48165</v>
      </c>
      <c r="CU279" s="127"/>
      <c r="CV279" s="123">
        <f>(CU279*$E279*$G279*$H279*$M279*CV$11)/12*6+(CU279*$E279*$G279*$H279*1*CV$11)/12*6</f>
        <v>0</v>
      </c>
      <c r="CW279" s="126">
        <f t="shared" si="450"/>
        <v>239</v>
      </c>
      <c r="CX279" s="126">
        <f t="shared" si="450"/>
        <v>6809073.8405199992</v>
      </c>
    </row>
    <row r="280" spans="1:102" ht="57.75" customHeight="1" x14ac:dyDescent="0.25">
      <c r="A280" s="91"/>
      <c r="B280" s="116">
        <v>218</v>
      </c>
      <c r="C280" s="117" t="s">
        <v>678</v>
      </c>
      <c r="D280" s="161" t="s">
        <v>679</v>
      </c>
      <c r="E280" s="95">
        <v>28004</v>
      </c>
      <c r="F280" s="96">
        <v>29405</v>
      </c>
      <c r="G280" s="119">
        <v>0.71</v>
      </c>
      <c r="H280" s="107">
        <v>1</v>
      </c>
      <c r="I280" s="108"/>
      <c r="J280" s="108"/>
      <c r="K280" s="108"/>
      <c r="L280" s="63"/>
      <c r="M280" s="120">
        <v>1.4</v>
      </c>
      <c r="N280" s="120">
        <v>1.68</v>
      </c>
      <c r="O280" s="120">
        <v>2.23</v>
      </c>
      <c r="P280" s="121">
        <v>2.57</v>
      </c>
      <c r="Q280" s="122">
        <v>120</v>
      </c>
      <c r="R280" s="123">
        <f>(Q280/12*2*$E280*$G280*$H280*$M280*$R$11)+(Q280/12*10*$F280*$G280*$H280*$M280*$R$11)</f>
        <v>3827534.1720000003</v>
      </c>
      <c r="S280" s="124"/>
      <c r="T280" s="125">
        <f>(S280/12*2*$E280*$G280*$H280*$M280*$R$11)+(S280/12*10*$F280*$G280*$H280*$M280*$R$11)</f>
        <v>0</v>
      </c>
      <c r="U280" s="123">
        <v>8</v>
      </c>
      <c r="V280" s="123">
        <f>(U280/12*2*$E280*$G280*$H280*$M280*$V$11)+(U280/12*10*$F280*$G280*$H280*$M280*$V$12)</f>
        <v>311120.47586666659</v>
      </c>
      <c r="W280" s="123"/>
      <c r="X280" s="126">
        <f>(W280/12*2*$E280*$G280*$H280*$M280*$X$11)+(W280/12*10*$F280*$G280*$H280*$M280*$X$12)</f>
        <v>0</v>
      </c>
      <c r="Y280" s="123"/>
      <c r="Z280" s="123">
        <f>(Y280/12*2*$E280*$G280*$H280*$M280*$Z$11)+(Y280/12*10*$F280*$G280*$H280*$M280*$Z$12)</f>
        <v>0</v>
      </c>
      <c r="AA280" s="123"/>
      <c r="AB280" s="123">
        <f>(AA280/12*2*$E280*$G280*$H280*$M280*$AB$11)+(AA280/12*10*$F280*$G280*$H280*$M280*$AB$11)</f>
        <v>0</v>
      </c>
      <c r="AC280" s="123"/>
      <c r="AD280" s="123"/>
      <c r="AE280" s="123"/>
      <c r="AF280" s="127">
        <f>(AE280/12*2*$E280*$G280*$H280*$M280*$AF$11)+(AE280/12*10*$F280*$G280*$H280*$M280*$AF$11)</f>
        <v>0</v>
      </c>
      <c r="AG280" s="123">
        <v>1</v>
      </c>
      <c r="AH280" s="126">
        <f>(AG280/12*2*$E280*$G280*$H280*$M280*$AH$11)+(AG280/12*10*$F280*$G280*$H280*$M280*$AH$11)</f>
        <v>31896.118099999996</v>
      </c>
      <c r="AI280" s="130"/>
      <c r="AJ280" s="123">
        <f t="shared" si="448"/>
        <v>0</v>
      </c>
      <c r="AK280" s="123"/>
      <c r="AL280" s="123">
        <f t="shared" si="449"/>
        <v>0</v>
      </c>
      <c r="AM280" s="132"/>
      <c r="AN280" s="123">
        <f>(AM280/12*2*$E280*$G280*$H280*$N280*$AN$11)+(AM280/12*10*$F280*$G280*$H280*$N280*$AN$12)</f>
        <v>0</v>
      </c>
      <c r="AO280" s="130">
        <v>3</v>
      </c>
      <c r="AP280" s="127">
        <f>(AO280/12*2*$E280*$G280*$H280*$N280*$AP$11)+(AO280/12*10*$F280*$G280*$H280*$N280*$AP$11)</f>
        <v>114826.02516</v>
      </c>
      <c r="AQ280" s="127">
        <v>2</v>
      </c>
      <c r="AR280" s="127">
        <v>77163.42</v>
      </c>
      <c r="AS280" s="123"/>
      <c r="AT280" s="123">
        <f>(AS280/12*2*$E280*$G280*$H280*$M280*$AT$11)+(AS280/12*10*$F280*$G280*$H280*$M280*$AT$11)</f>
        <v>0</v>
      </c>
      <c r="AU280" s="123"/>
      <c r="AV280" s="126">
        <f>(AU280/12*2*$E280*$G280*$H280*$M280*$AV$11)+(AU280/12*10*$F280*$G280*$H280*$M280*$AV$12)</f>
        <v>0</v>
      </c>
      <c r="AW280" s="123"/>
      <c r="AX280" s="123">
        <f>(AW280/12*2*$E280*$G280*$H280*$M280*$AX$11)+(AW280/12*10*$F280*$G280*$H280*$M280*$AX$12)</f>
        <v>0</v>
      </c>
      <c r="AY280" s="131">
        <v>15</v>
      </c>
      <c r="AZ280" s="123">
        <f>(AY280/12*2*$E280*$G280*$H280*$N280*$AZ$11)+(AY280/12*10*$F280*$G280*$H280*$N280*$AZ$11)</f>
        <v>574130.12580000004</v>
      </c>
      <c r="BA280" s="123"/>
      <c r="BB280" s="123">
        <f>(BA280/12*2*$E280*$G280*$H280*$N280*$BB$11)+(BA280/12*10*$F280*$G280*$H280*$N280*$BB$12)</f>
        <v>0</v>
      </c>
      <c r="BC280" s="123"/>
      <c r="BD280" s="126">
        <f>(BC280/12*2*$E280*$G280*$H280*$N280*$BD$11)+(BC280/12*10*$F280*$G280*$H280*$N280*$BD$12)</f>
        <v>0</v>
      </c>
      <c r="BE280" s="123">
        <v>6</v>
      </c>
      <c r="BF280" s="123">
        <f>(BE280/12*10*$F280*$G280*$H280*$N280*$BF$12)</f>
        <v>175371.41999999998</v>
      </c>
      <c r="BG280" s="123">
        <v>3</v>
      </c>
      <c r="BH280" s="123">
        <f>(BG280/12*2*$E280*$G280*$H280*$N280*$BH$11)+(BG280/12*10*$F280*$G280*$H280*$N280*$BH$11)</f>
        <v>93948.566039999991</v>
      </c>
      <c r="BI280" s="123">
        <v>5</v>
      </c>
      <c r="BJ280" s="126">
        <f>(BI280/12*2*$E280*$G280*$H280*$N280*$BJ$11)+(BI280/12*10*$F280*$G280*$H280*$N280*$BJ$11)</f>
        <v>208774.59120000002</v>
      </c>
      <c r="BK280" s="123">
        <v>10</v>
      </c>
      <c r="BL280" s="127">
        <f>(BK280/12*2*$E280*$G280*$H280*$N280*$BL$11)+(BK280/12*10*$F280*$G280*$H280*$N280*$BL$11)</f>
        <v>417549.18240000005</v>
      </c>
      <c r="BM280" s="123">
        <v>25</v>
      </c>
      <c r="BN280" s="123">
        <f>(BM280/12*2*$E280*$G280*$H280*$M280*$BN$11)+(BM280/12*10*$F280*$G280*$H280*$M280*$BN$11)</f>
        <v>724911.77499999991</v>
      </c>
      <c r="BO280" s="123">
        <v>1</v>
      </c>
      <c r="BP280" s="123">
        <f>(BO280*$F280*$G280*$H280*$M280*$BP$12)</f>
        <v>26305.712999999996</v>
      </c>
      <c r="BQ280" s="123"/>
      <c r="BR280" s="123">
        <f>(BQ280/12*2*$E280*$G280*$H280*$M280*$BR$11)+(BQ280/12*10*$F280*$G280*$H280*$M280*$BR$11)</f>
        <v>0</v>
      </c>
      <c r="BS280" s="123">
        <v>2</v>
      </c>
      <c r="BT280" s="123">
        <f>(BS280/12*2*$E280*$G280*$H280*$N280*$BT$11)+(BS280/12*10*$F280*$G280*$H280*$N280*$BT$11)</f>
        <v>69591.530399999989</v>
      </c>
      <c r="BU280" s="123"/>
      <c r="BV280" s="126">
        <f>(BU280/12*2*$E280*$G280*$H280*$M280*$BV$11)+(BU280/12*10*$F280*$G280*$H280*$M280*$BV$11)</f>
        <v>0</v>
      </c>
      <c r="BW280" s="123"/>
      <c r="BX280" s="123">
        <f>(BW280/12*2*$E280*$G280*$H280*$M280*$BX$11)+(BW280/12*10*$F280*$G280*$H280*$M280*$BX$11)</f>
        <v>0</v>
      </c>
      <c r="BY280" s="123"/>
      <c r="BZ280" s="123">
        <f>(BY280/12*2*$E280*$G280*$H280*$M280*$BZ$11)+(BY280/12*10*$F280*$G280*$H280*$M280*$BZ$11)</f>
        <v>0</v>
      </c>
      <c r="CA280" s="123">
        <v>1</v>
      </c>
      <c r="CB280" s="123">
        <f>(CA280/12*2*$E280*$G280*$H280*$M280*$CB$11)+(CA280/12*10*$F280*$G280*$H280*$M280*$CB$11)</f>
        <v>34795.765199999994</v>
      </c>
      <c r="CC280" s="123">
        <v>7</v>
      </c>
      <c r="CD280" s="123">
        <f>(CC280/12*2*$E280*$G280*$H280*$M280*$CD$11)+(CC280/12*10*$F280*$G280*$H280*$M280*$CD$11)</f>
        <v>202975.29699999999</v>
      </c>
      <c r="CE280" s="123"/>
      <c r="CF280" s="123">
        <f>(CE280/12*10*$F280*$G280*$H280*$N280*$CF$11)</f>
        <v>0</v>
      </c>
      <c r="CG280" s="132">
        <v>144</v>
      </c>
      <c r="CH280" s="123">
        <f>(CG280/12*2*$E280*$G280*$H280*$N280*$CH$11)+(CG280/12*10*$F280*$G280*$H280*$N280*$CH$11)</f>
        <v>4509531.1699200002</v>
      </c>
      <c r="CI280" s="123"/>
      <c r="CJ280" s="127">
        <f>(CI280*$E280*$G280*$H280*$N280*CJ$11)</f>
        <v>0</v>
      </c>
      <c r="CK280" s="123"/>
      <c r="CL280" s="123">
        <f>(CK280/12*2*$E280*$G280*$H280*$N280*$CL$11)+(CK280/12*10*$F280*$G280*$H280*$N280*$CL$12)</f>
        <v>0</v>
      </c>
      <c r="CM280" s="130"/>
      <c r="CN280" s="123">
        <f>(CM280/12*2*$E280*$G280*$H280*$N280*$CN$11)+(CM280/12*10*$F280*$G280*$H280*$N280*$CN$11)</f>
        <v>0</v>
      </c>
      <c r="CO280" s="123">
        <v>1</v>
      </c>
      <c r="CP280" s="123">
        <v>35074.28</v>
      </c>
      <c r="CQ280" s="123"/>
      <c r="CR280" s="123">
        <f>(CQ280/12*2*$E280*$G280*$H280*$O280*$CR$11)+(CQ280/12*10*$F280*$G280*$H280*$O280*$CR$11)</f>
        <v>0</v>
      </c>
      <c r="CS280" s="123">
        <v>2</v>
      </c>
      <c r="CT280" s="133">
        <f>(CS280/12*2*$E280*$G280*$H280*$P280*$CT$11)+(CS280/12*10*$F280*$G280*$H280*$P280*$CT$11)</f>
        <v>106458.47209999998</v>
      </c>
      <c r="CU280" s="127"/>
      <c r="CV280" s="123">
        <f>(CU280*$E280*$G280*$H280*$M280*CV$11)/12*6+(CU280*$E280*$G280*$H280*1*CV$11)/12*6</f>
        <v>0</v>
      </c>
      <c r="CW280" s="126">
        <f t="shared" si="450"/>
        <v>356</v>
      </c>
      <c r="CX280" s="126">
        <f t="shared" si="450"/>
        <v>11541958.099186668</v>
      </c>
    </row>
    <row r="281" spans="1:102" ht="45" x14ac:dyDescent="0.25">
      <c r="A281" s="91"/>
      <c r="B281" s="116">
        <v>219</v>
      </c>
      <c r="C281" s="117" t="s">
        <v>680</v>
      </c>
      <c r="D281" s="161" t="s">
        <v>681</v>
      </c>
      <c r="E281" s="95">
        <v>28004</v>
      </c>
      <c r="F281" s="96">
        <v>29405</v>
      </c>
      <c r="G281" s="119">
        <v>0.84</v>
      </c>
      <c r="H281" s="107">
        <v>1</v>
      </c>
      <c r="I281" s="110">
        <v>0.9</v>
      </c>
      <c r="J281" s="203"/>
      <c r="K281" s="203"/>
      <c r="L281" s="63"/>
      <c r="M281" s="120">
        <v>1.4</v>
      </c>
      <c r="N281" s="120">
        <v>1.68</v>
      </c>
      <c r="O281" s="120">
        <v>2.23</v>
      </c>
      <c r="P281" s="121">
        <v>2.57</v>
      </c>
      <c r="Q281" s="122">
        <v>120</v>
      </c>
      <c r="R281" s="123">
        <f>(Q281/12*2*$E281*$G281*$H281*$M281*$R$11)+(Q281/12*10*$F281*$G281*$I281*$M281*$R$11)</f>
        <v>4147967.2079999996</v>
      </c>
      <c r="S281" s="124">
        <v>1</v>
      </c>
      <c r="T281" s="125">
        <f>(S281/12*2*$E281*$G281*$H281*$M281*$R$11)+(S281/12*10*$F281*$G281*$I281*$M281*$R$11)</f>
        <v>34566.393399999994</v>
      </c>
      <c r="U281" s="123"/>
      <c r="V281" s="123">
        <f>(U281/12*2*$E281*$G281*$H281*$M281*$V$11)+(U281/12*10*$F281*$G281*$I281*$M281*$V$12)</f>
        <v>0</v>
      </c>
      <c r="W281" s="123"/>
      <c r="X281" s="126">
        <f>(W281/12*2*$E281*$G281*$H281*$M281*$X$11)+(W281/12*10*$F281*$G281*$I281*$M281*$X$12)</f>
        <v>0</v>
      </c>
      <c r="Y281" s="123">
        <v>1</v>
      </c>
      <c r="Z281" s="123">
        <f>(Y281/12*2*$E281*$G281*$H281*$M281*$Z$11)+(Y281/12*10*$F281*$G281*$I281*$M281*$Z$12)</f>
        <v>42178.126899999996</v>
      </c>
      <c r="AA281" s="123"/>
      <c r="AB281" s="123">
        <f>(AA281/12*2*$E281*$G281*$H281*$M281*$AB$11)+(AA281/12*10*$F281*$G281*$I281*$M281*$AB$11)</f>
        <v>0</v>
      </c>
      <c r="AC281" s="123"/>
      <c r="AD281" s="123"/>
      <c r="AE281" s="123"/>
      <c r="AF281" s="123">
        <f>(AE281/12*2*$E281*$G281*$H281*$M281*$AF$11)+(AE281/12*10*$F281*$G281*$I281*$M281*$AF$11)</f>
        <v>0</v>
      </c>
      <c r="AG281" s="135">
        <v>0</v>
      </c>
      <c r="AH281" s="136">
        <f>(AG281/12*2*$E281*$G281*$H281*$M281*$AH$11)+(AG281/12*10*$F281*$G281*$I281*$M281*$AH$11)</f>
        <v>0</v>
      </c>
      <c r="AI281" s="123"/>
      <c r="AJ281" s="123">
        <f t="shared" ref="AJ281:AJ283" si="451">(AI281/12*2*$E281*$G281*$H281*$M281*$AJ$11)+(AI281/12*5*$F281*$G281*$I281*$M281*$AJ$12)+(AI281/12*5*$F281*$G281*$I281*$M281*$AJ$13)</f>
        <v>0</v>
      </c>
      <c r="AK281" s="123"/>
      <c r="AL281" s="123">
        <f t="shared" ref="AL281:AL283" si="452">(AK281/12*2*$E281*$G281*$H281*$N281*$AL$11)+(AK281/12*5*$F281*$G281*$I281*$N281*$AL$12)+(AK281/12*5*$F281*$G281*$I281*$N281*$AL$13)</f>
        <v>0</v>
      </c>
      <c r="AM281" s="132"/>
      <c r="AN281" s="123">
        <f>(AM281/12*2*$E281*$G281*$H281*$N281*$AN$11)+(AM281/12*10*$F281*$G281*$I281*$N281*$AN$12)</f>
        <v>0</v>
      </c>
      <c r="AO281" s="130">
        <v>1</v>
      </c>
      <c r="AP281" s="127">
        <f>(AO281/12*2*$E281*$G281*$H281*$N281*$AP$11)+(AO281/12*10*$F281*$G281*$I281*$N281*$AP$11)</f>
        <v>41479.672080000004</v>
      </c>
      <c r="AQ281" s="127">
        <v>1</v>
      </c>
      <c r="AR281" s="127">
        <v>41081.370000000003</v>
      </c>
      <c r="AS281" s="123"/>
      <c r="AT281" s="123"/>
      <c r="AU281" s="123"/>
      <c r="AV281" s="126"/>
      <c r="AW281" s="123"/>
      <c r="AX281" s="123">
        <f>(AW281/12*2*$E281*$G281*$H281*$M281*$AX$11)+(AW281/12*10*$F281*$G281*$I281*$M281*$AX$12)</f>
        <v>0</v>
      </c>
      <c r="AY281" s="123"/>
      <c r="AZ281" s="123">
        <f>(AY281/12*2*$E281*$G281*$H281*$N281*$AZ$11)+(AY281/12*10*$F281*$G281*$I281*$N281*$AZ$11)</f>
        <v>0</v>
      </c>
      <c r="BA281" s="123"/>
      <c r="BB281" s="123">
        <f>(BA281/12*2*$E281*$G281*$H281*$N281*$BB$11)+(BA281/12*10*$F281*$G281*$I281*$N281*$BB$12)</f>
        <v>0</v>
      </c>
      <c r="BC281" s="123"/>
      <c r="BD281" s="126"/>
      <c r="BE281" s="123"/>
      <c r="BF281" s="123">
        <f>(BE281/12*10*$F281*$G281*$I281*$N281*$BF$12)</f>
        <v>0</v>
      </c>
      <c r="BG281" s="123"/>
      <c r="BH281" s="123">
        <f>(BG281/12*2*$E281*$G281*$H281*$N281*$BH$11)+(BG281/12*10*$F281*$G281*$I281*$N281*$BH$11)</f>
        <v>0</v>
      </c>
      <c r="BI281" s="123"/>
      <c r="BJ281" s="126">
        <f>(BI281/12*2*$E281*$G281*$H281*$N281*$BJ$11)+(BI281/12*10*$F281*$G281*$I281*$N281*$BJ$11)</f>
        <v>0</v>
      </c>
      <c r="BK281" s="123"/>
      <c r="BL281" s="127">
        <f>(BK281/12*2*$E281*$G281*$H281*$N281*$BL$11)+(BK281/12*10*$F281*$G281*$I281*$N281*$BL$11)</f>
        <v>0</v>
      </c>
      <c r="BM281" s="123"/>
      <c r="BN281" s="123">
        <f>(BM281/12*2*$E281*$G281*$H281*$M281*$BN$11)+(BM281/12*10*$F281*$G281*$I281*$M281*$BN$11)</f>
        <v>0</v>
      </c>
      <c r="BO281" s="123"/>
      <c r="BP281" s="123">
        <f>(BO281/12*2*$E281*$G281*$H281*$M281*$BP$11)+(BO281/12*10*$F281*$G281*$I281*$M281*$BP$12)</f>
        <v>0</v>
      </c>
      <c r="BQ281" s="123"/>
      <c r="BR281" s="123">
        <f>(BQ281/12*2*$E281*$G281*$H281*$M281*$BR$11)+(BQ281/12*10*$F281*$G281*$I281*$M281*$BR$11)</f>
        <v>0</v>
      </c>
      <c r="BS281" s="123"/>
      <c r="BT281" s="123">
        <f>(BS281/12*2*$E281*$G281*$H281*$N281*$BT$11)+(BS281/12*10*$F281*$G281*$I281*$N281*$BT$11)</f>
        <v>0</v>
      </c>
      <c r="BU281" s="123"/>
      <c r="BV281" s="126">
        <f>(BU281/12*2*$E281*$G281*$H281*$M281*$BV$11)+(BU281/12*10*$F281*$G281*$I281*$M281*$BV$11)</f>
        <v>0</v>
      </c>
      <c r="BW281" s="123"/>
      <c r="BX281" s="123">
        <f>(BW281/12*2*$E281*$G281*$H281*$M281*$BX$11)+(BW281/12*10*$F281*$G281*$I281*$M281*$BX$11)</f>
        <v>0</v>
      </c>
      <c r="BY281" s="123"/>
      <c r="BZ281" s="123">
        <f>(BY281/12*2*$E281*$G281*$H281*$M281*$BZ$11)+(BY281/12*10*$F281*$G281*$I281*$M281*$BZ$11)</f>
        <v>0</v>
      </c>
      <c r="CA281" s="123"/>
      <c r="CB281" s="123">
        <f>(CA281/12*2*$E281*$G281*$H281*$M281*$CB$11)+(CA281/12*10*$F281*$G281*$I281*$M281*$CB$11)</f>
        <v>0</v>
      </c>
      <c r="CC281" s="123"/>
      <c r="CD281" s="123">
        <f>(CC281/12*2*$E281*$G281*$H281*$M281*$CD$11)+(CC281/12*10*$F281*$G281*$I281*$M281*$CD$11)</f>
        <v>0</v>
      </c>
      <c r="CE281" s="123">
        <v>3</v>
      </c>
      <c r="CF281" s="123">
        <f>(CE281/12*10*$F281*$G281*$I281*$N281*$CF$11)</f>
        <v>93366.756000000008</v>
      </c>
      <c r="CG281" s="132">
        <v>210</v>
      </c>
      <c r="CH281" s="123">
        <f>(CG281/12*2*$E281*$G281*$H281*$N281*$CH$11)+(CG281/12*10*$F281*$G281*$I281*$N281*$CH$11)</f>
        <v>7126961.8392000003</v>
      </c>
      <c r="CI281" s="123"/>
      <c r="CJ281" s="127"/>
      <c r="CK281" s="123"/>
      <c r="CL281" s="123">
        <f>(CK281/12*2*$E281*$G281*$H281*$N281*$CL$11)+(CK281/12*10*$F281*$G281*$I281*$N281*$CL$12)</f>
        <v>0</v>
      </c>
      <c r="CM281" s="130"/>
      <c r="CN281" s="123">
        <f>(CM281/12*2*$E281*$G281*$H281*$N281*$CN$11)+(CM281/12*10*$F281*$G281*$I281*$N281*$CN$11)</f>
        <v>0</v>
      </c>
      <c r="CO281" s="123"/>
      <c r="CP281" s="123">
        <f>(CO281/12*2*$E281*$G281*$H281*$N281*$CP$11)+(CO281/12*10*$F281*$G281*$I281*$N281*$CP$11)</f>
        <v>0</v>
      </c>
      <c r="CQ281" s="123"/>
      <c r="CR281" s="123">
        <f>(CQ281/12*2*$E281*$G281*$H281*$O281*$CR$11)+(CQ281/12*10*$F281*$G281*$I281*$O281*$CR$11)</f>
        <v>0</v>
      </c>
      <c r="CS281" s="123">
        <v>1</v>
      </c>
      <c r="CT281" s="133">
        <f>(CS281/12*2*$E281*$G281*$H281*$P281*$CT$11)+(CS281/12*10*$F281*$G281*$I281*$P281*$CT$11)</f>
        <v>57685.474699999992</v>
      </c>
      <c r="CU281" s="127"/>
      <c r="CV281" s="123"/>
      <c r="CW281" s="126">
        <f t="shared" si="450"/>
        <v>338</v>
      </c>
      <c r="CX281" s="126">
        <f t="shared" si="450"/>
        <v>11585286.84028</v>
      </c>
    </row>
    <row r="282" spans="1:102" ht="45" x14ac:dyDescent="0.25">
      <c r="A282" s="91"/>
      <c r="B282" s="116">
        <v>220</v>
      </c>
      <c r="C282" s="117" t="s">
        <v>682</v>
      </c>
      <c r="D282" s="161" t="s">
        <v>683</v>
      </c>
      <c r="E282" s="95">
        <v>28004</v>
      </c>
      <c r="F282" s="96">
        <v>29405</v>
      </c>
      <c r="G282" s="119">
        <v>0.91</v>
      </c>
      <c r="H282" s="107">
        <v>1</v>
      </c>
      <c r="I282" s="110">
        <v>0.9</v>
      </c>
      <c r="J282" s="203"/>
      <c r="K282" s="203"/>
      <c r="L282" s="63"/>
      <c r="M282" s="120">
        <v>1.4</v>
      </c>
      <c r="N282" s="120">
        <v>1.68</v>
      </c>
      <c r="O282" s="120">
        <v>2.23</v>
      </c>
      <c r="P282" s="121">
        <v>2.57</v>
      </c>
      <c r="Q282" s="122">
        <v>444</v>
      </c>
      <c r="R282" s="123">
        <f>(Q282/12*2*$E282*$G282*$H282*$M282*$R$11)+(Q282/12*10*$F282*$G282*$I282*$M282*$R$11)</f>
        <v>16626435.225400001</v>
      </c>
      <c r="S282" s="124">
        <v>5</v>
      </c>
      <c r="T282" s="125">
        <f>(S282/12*2*$E282*$G282*$H282*$M282*$R$11)+(S282/12*10*$F282*$G282*$I282*$M282*$R$11)</f>
        <v>187234.63091666671</v>
      </c>
      <c r="U282" s="123"/>
      <c r="V282" s="123">
        <f>(U282/12*2*$E282*$G282*$H282*$M282*$V$11)+(U282/12*10*$F282*$G282*$I282*$M282*$V$12)</f>
        <v>0</v>
      </c>
      <c r="W282" s="123"/>
      <c r="X282" s="126">
        <f>(W282/12*2*$E282*$G282*$H282*$M282*$X$11)+(W282/12*10*$F282*$G282*$I282*$M282*$X$12)</f>
        <v>0</v>
      </c>
      <c r="Y282" s="123"/>
      <c r="Z282" s="123">
        <f>(Y282/12*2*$E282*$G282*$H282*$M282*$Z$11)+(Y282/12*10*$F282*$G282*$I282*$M282*$Z$12)</f>
        <v>0</v>
      </c>
      <c r="AA282" s="123"/>
      <c r="AB282" s="123">
        <f>(AA282/12*2*$E282*$G282*$H282*$M282*$AB$11)+(AA282/12*10*$F282*$G282*$I282*$M282*$AB$11)</f>
        <v>0</v>
      </c>
      <c r="AC282" s="123"/>
      <c r="AD282" s="123"/>
      <c r="AE282" s="123"/>
      <c r="AF282" s="127">
        <f>(AE282/12*2*$E282*$G282*$H282*$M282*$AF$11)+(AE282/12*10*$F282*$G282*$I282*$M282*$AF$11)</f>
        <v>0</v>
      </c>
      <c r="AG282" s="123">
        <v>8</v>
      </c>
      <c r="AH282" s="126">
        <f>(AG282/12*2*$E282*$G282*$H282*$M282*$AH$11)+(AG282/12*10*$F282*$G282*$I282*$M282*$AH$11)</f>
        <v>299575.40946666669</v>
      </c>
      <c r="AI282" s="130">
        <v>5</v>
      </c>
      <c r="AJ282" s="123">
        <f t="shared" si="451"/>
        <v>219872.46720833334</v>
      </c>
      <c r="AK282" s="123"/>
      <c r="AL282" s="123">
        <f t="shared" si="452"/>
        <v>0</v>
      </c>
      <c r="AM282" s="132"/>
      <c r="AN282" s="123">
        <f>(AM282/12*2*$E282*$G282*$H282*$N282*$AN$11)+(AM282/12*10*$F282*$G282*$I282*$N282*$AN$12)</f>
        <v>0</v>
      </c>
      <c r="AO282" s="130">
        <v>0</v>
      </c>
      <c r="AP282" s="127">
        <f>(AO282/12*2*$E282*$G282*$H282*$N282*$AP$11)+(AO282/12*10*$F282*$G282*$I282*$N282*$AP$11)</f>
        <v>0</v>
      </c>
      <c r="AQ282" s="127">
        <v>0</v>
      </c>
      <c r="AR282" s="127">
        <v>0</v>
      </c>
      <c r="AS282" s="123"/>
      <c r="AT282" s="123"/>
      <c r="AU282" s="123"/>
      <c r="AV282" s="126"/>
      <c r="AW282" s="123"/>
      <c r="AX282" s="123">
        <f>(AW282/12*2*$E282*$G282*$H282*$M282*$AX$11)+(AW282/12*10*$F282*$G282*$I282*$M282*$AX$12)</f>
        <v>0</v>
      </c>
      <c r="AY282" s="123">
        <v>29</v>
      </c>
      <c r="AZ282" s="123">
        <f>(AY282/12*2*$E282*$G282*$H282*$N282*$AZ$11)+(AY282/12*10*$F282*$G282*$I282*$N282*$AZ$11)</f>
        <v>1303153.0311799999</v>
      </c>
      <c r="BA282" s="123"/>
      <c r="BB282" s="123">
        <f>(BA282/12*2*$E282*$G282*$H282*$N282*$BB$11)+(BA282/12*10*$F282*$G282*$I282*$N282*$BB$12)</f>
        <v>0</v>
      </c>
      <c r="BC282" s="123"/>
      <c r="BD282" s="126"/>
      <c r="BE282" s="123"/>
      <c r="BF282" s="123">
        <f>(BE282/12*10*$F282*$G282*$I282*$N282*$BF$12)</f>
        <v>0</v>
      </c>
      <c r="BG282" s="123"/>
      <c r="BH282" s="123">
        <f>(BG282/12*2*$E282*$G282*$H282*$N282*$BH$11)+(BG282/12*10*$F282*$G282*$I282*$N282*$BH$11)</f>
        <v>0</v>
      </c>
      <c r="BI282" s="123">
        <v>3</v>
      </c>
      <c r="BJ282" s="126">
        <f>(BI282/12*2*$E282*$G282*$H282*$N282*$BJ$11)+(BI282/12*10*$F282*$G282*$I282*$N282*$BJ$11)</f>
        <v>147064.29191999999</v>
      </c>
      <c r="BK282" s="123">
        <v>7</v>
      </c>
      <c r="BL282" s="127">
        <f>(BK282/12*2*$E282*$G282*$H282*$N282*$BL$11)+(BK282/12*10*$F282*$G282*$I282*$N282*$BL$11)</f>
        <v>343150.01448000001</v>
      </c>
      <c r="BM282" s="123"/>
      <c r="BN282" s="123">
        <f>(BM282/12*2*$E282*$G282*$H282*$M282*$BN$11)+(BM282/12*10*$F282*$G282*$I282*$M282*$BN$11)</f>
        <v>0</v>
      </c>
      <c r="BO282" s="123"/>
      <c r="BP282" s="123">
        <f>(BO282/12*2*$E282*$G282*$H282*$M282*$BP$11)+(BO282/12*10*$F282*$G282*$I282*$M282*$BP$12)</f>
        <v>0</v>
      </c>
      <c r="BQ282" s="123"/>
      <c r="BR282" s="123">
        <f>(BQ282/12*2*$E282*$G282*$H282*$M282*$BR$11)+(BQ282/12*10*$F282*$G282*$I282*$M282*$BR$11)</f>
        <v>0</v>
      </c>
      <c r="BS282" s="123"/>
      <c r="BT282" s="123">
        <f>(BS282/12*2*$E282*$G282*$H282*$N282*$BT$11)+(BS282/12*10*$F282*$G282*$I282*$N282*$BT$11)</f>
        <v>0</v>
      </c>
      <c r="BU282" s="123"/>
      <c r="BV282" s="126">
        <f>(BU282/12*2*$E282*$G282*$H282*$M282*$BV$11)+(BU282/12*10*$F282*$G282*$I282*$M282*$BV$11)</f>
        <v>0</v>
      </c>
      <c r="BW282" s="123"/>
      <c r="BX282" s="123">
        <f>(BW282/12*2*$E282*$G282*$H282*$M282*$BX$11)+(BW282/12*10*$F282*$G282*$I282*$M282*$BX$11)</f>
        <v>0</v>
      </c>
      <c r="BY282" s="123"/>
      <c r="BZ282" s="123">
        <f>(BY282/12*2*$E282*$G282*$H282*$M282*$BZ$11)+(BY282/12*10*$F282*$G282*$I282*$M282*$BZ$11)</f>
        <v>0</v>
      </c>
      <c r="CA282" s="123"/>
      <c r="CB282" s="123">
        <f>(CA282/12*2*$E282*$G282*$H282*$M282*$CB$11)+(CA282/12*10*$F282*$G282*$I282*$M282*$CB$11)</f>
        <v>0</v>
      </c>
      <c r="CC282" s="123">
        <v>2</v>
      </c>
      <c r="CD282" s="123">
        <f>(CC282/12*2*$E282*$G282*$H282*$M282*$CD$11)+(CC282/12*10*$F282*$G282*$I282*$M282*$CD$11)</f>
        <v>68085.320333333322</v>
      </c>
      <c r="CE282" s="123">
        <v>3</v>
      </c>
      <c r="CF282" s="123">
        <f>(CE282/12*10*$F282*$G282*$I282*$N282*$CF$11)</f>
        <v>101147.319</v>
      </c>
      <c r="CG282" s="132">
        <v>272</v>
      </c>
      <c r="CH282" s="123">
        <f>(CG282/12*2*$E282*$G282*$H282*$N282*$CH$11)+(CG282/12*10*$F282*$G282*$I282*$N282*$CH$11)</f>
        <v>10000371.85056</v>
      </c>
      <c r="CI282" s="123"/>
      <c r="CJ282" s="127"/>
      <c r="CK282" s="123"/>
      <c r="CL282" s="123">
        <f>(CK282/12*2*$E282*$G282*$H282*$N282*$CL$11)+(CK282/12*10*$F282*$G282*$I282*$N282*$CL$12)</f>
        <v>0</v>
      </c>
      <c r="CM282" s="130">
        <v>1</v>
      </c>
      <c r="CN282" s="123">
        <f>(CM282/12*2*$E282*$G282*$H282*$N282*$CN$11)+(CM282/12*10*$F282*$G282*$I282*$N282*$CN$11)</f>
        <v>40851.19219999999</v>
      </c>
      <c r="CO282" s="123"/>
      <c r="CP282" s="123">
        <f>(CO282/12*2*$E282*$G282*$H282*$N282*$CP$11)+(CO282/12*10*$F282*$G282*$I282*$N282*$CP$11)</f>
        <v>0</v>
      </c>
      <c r="CQ282" s="123"/>
      <c r="CR282" s="123">
        <f>(CQ282/12*2*$E282*$G282*$H282*$O282*$CR$11)+(CQ282/12*10*$F282*$G282*$I282*$O282*$CR$11)</f>
        <v>0</v>
      </c>
      <c r="CS282" s="123"/>
      <c r="CT282" s="133">
        <f>(CS282/12*2*$E282*$G282*$H282*$P282*$CT$11)+(CS282/12*10*$F282*$G282*$I282*$P282*$CT$11)</f>
        <v>0</v>
      </c>
      <c r="CU282" s="127"/>
      <c r="CV282" s="123"/>
      <c r="CW282" s="126">
        <f t="shared" si="450"/>
        <v>779</v>
      </c>
      <c r="CX282" s="126">
        <f t="shared" si="450"/>
        <v>29336940.752664994</v>
      </c>
    </row>
    <row r="283" spans="1:102" ht="45" x14ac:dyDescent="0.25">
      <c r="A283" s="91"/>
      <c r="B283" s="116">
        <v>221</v>
      </c>
      <c r="C283" s="117" t="s">
        <v>684</v>
      </c>
      <c r="D283" s="161" t="s">
        <v>685</v>
      </c>
      <c r="E283" s="95">
        <v>28004</v>
      </c>
      <c r="F283" s="96">
        <v>29405</v>
      </c>
      <c r="G283" s="107">
        <v>1.1000000000000001</v>
      </c>
      <c r="H283" s="107">
        <v>1</v>
      </c>
      <c r="I283" s="110">
        <v>0.9</v>
      </c>
      <c r="J283" s="203"/>
      <c r="K283" s="203"/>
      <c r="L283" s="63"/>
      <c r="M283" s="120">
        <v>1.4</v>
      </c>
      <c r="N283" s="120">
        <v>1.68</v>
      </c>
      <c r="O283" s="120">
        <v>2.23</v>
      </c>
      <c r="P283" s="121">
        <v>2.57</v>
      </c>
      <c r="Q283" s="122">
        <v>78</v>
      </c>
      <c r="R283" s="123">
        <f>(Q283/12*2*$E283*$G283*$H283*$M283*$R$11)+(Q283/12*10*$F283*$G283*$I283*$M283*$R$11)</f>
        <v>3530710.1829999997</v>
      </c>
      <c r="S283" s="124">
        <v>1</v>
      </c>
      <c r="T283" s="125">
        <f>(S283/12*2*$E283*$G283*$H283*$M283*$R$11)+(S283/12*10*$F283*$G283*$I283*$M283*$R$11)</f>
        <v>45265.515166666672</v>
      </c>
      <c r="U283" s="123"/>
      <c r="V283" s="123">
        <f>(U283/12*2*$E283*$G283*$H283*$M283*$V$11)+(U283/12*10*$F283*$G283*$I283*$M283*$V$12)</f>
        <v>0</v>
      </c>
      <c r="W283" s="123"/>
      <c r="X283" s="126">
        <f>(W283/12*2*$E283*$G283*$H283*$M283*$X$11)+(W283/12*10*$F283*$G283*$I283*$M283*$X$12)</f>
        <v>0</v>
      </c>
      <c r="Y283" s="123"/>
      <c r="Z283" s="123">
        <f>(Y283/12*2*$E283*$G283*$H283*$M283*$Z$11)+(Y283/12*10*$F283*$G283*$I283*$M283*$Z$12)</f>
        <v>0</v>
      </c>
      <c r="AA283" s="123"/>
      <c r="AB283" s="123">
        <f>(AA283/12*2*$E283*$G283*$H283*$M283*$AB$11)+(AA283/12*10*$F283*$G283*$I283*$M283*$AB$11)</f>
        <v>0</v>
      </c>
      <c r="AC283" s="123"/>
      <c r="AD283" s="123"/>
      <c r="AE283" s="123"/>
      <c r="AF283" s="123">
        <f>(AE283/12*2*$E283*$G283*$H283*$M283*$AF$11)+(AE283/12*10*$F283*$G283*$I283*$M283*$AF$11)</f>
        <v>0</v>
      </c>
      <c r="AG283" s="135">
        <v>0</v>
      </c>
      <c r="AH283" s="136">
        <f>(AG283/12*2*$E283*$G283*$H283*$M283*$AH$11)+(AG283/12*10*$F283*$G283*$I283*$M283*$AH$11)</f>
        <v>0</v>
      </c>
      <c r="AI283" s="123"/>
      <c r="AJ283" s="123">
        <f t="shared" si="451"/>
        <v>0</v>
      </c>
      <c r="AK283" s="123"/>
      <c r="AL283" s="123">
        <f t="shared" si="452"/>
        <v>0</v>
      </c>
      <c r="AM283" s="132"/>
      <c r="AN283" s="123">
        <f>(AM283/12*2*$E283*$G283*$H283*$N283*$AN$11)+(AM283/12*10*$F283*$G283*$I283*$N283*$AN$12)</f>
        <v>0</v>
      </c>
      <c r="AO283" s="130">
        <v>0</v>
      </c>
      <c r="AP283" s="127">
        <f>(AO283/12*2*$E283*$G283*$H283*$N283*$AP$11)+(AO283/12*10*$F283*$G283*$I283*$N283*$AP$11)</f>
        <v>0</v>
      </c>
      <c r="AQ283" s="127">
        <v>0</v>
      </c>
      <c r="AR283" s="127">
        <v>0</v>
      </c>
      <c r="AS283" s="123"/>
      <c r="AT283" s="123"/>
      <c r="AU283" s="123"/>
      <c r="AV283" s="126"/>
      <c r="AW283" s="123"/>
      <c r="AX283" s="123">
        <f>(AW283/12*2*$E283*$G283*$H283*$M283*$AX$11)+(AW283/12*10*$F283*$G283*$I283*$M283*$AX$12)</f>
        <v>0</v>
      </c>
      <c r="AY283" s="123">
        <v>19</v>
      </c>
      <c r="AZ283" s="123">
        <f>(AY283/12*2*$E283*$G283*$H283*$N283*$AZ$11)+(AY283/12*10*$F283*$G283*$I283*$N283*$AZ$11)</f>
        <v>1032053.7458000001</v>
      </c>
      <c r="BA283" s="123"/>
      <c r="BB283" s="123">
        <f>(BA283/12*2*$E283*$G283*$H283*$N283*$BB$11)+(BA283/12*10*$F283*$G283*$I283*$N283*$BB$12)</f>
        <v>0</v>
      </c>
      <c r="BC283" s="123"/>
      <c r="BD283" s="126"/>
      <c r="BE283" s="123"/>
      <c r="BF283" s="123">
        <f>(BE283/12*10*$F283*$G283*$I283*$N283*$BF$12)</f>
        <v>0</v>
      </c>
      <c r="BG283" s="123"/>
      <c r="BH283" s="123">
        <f>(BG283/12*2*$E283*$G283*$H283*$N283*$BH$11)+(BG283/12*10*$F283*$G283*$I283*$N283*$BH$11)</f>
        <v>0</v>
      </c>
      <c r="BI283" s="123"/>
      <c r="BJ283" s="126">
        <f>(BI283/12*2*$E283*$G283*$H283*$N283*$BJ$11)+(BI283/12*10*$F283*$G283*$I283*$N283*$BJ$11)</f>
        <v>0</v>
      </c>
      <c r="BK283" s="123"/>
      <c r="BL283" s="127">
        <f>(BK283/12*2*$E283*$G283*$H283*$N283*$BL$11)+(BK283/12*10*$F283*$G283*$I283*$N283*$BL$11)</f>
        <v>0</v>
      </c>
      <c r="BM283" s="123"/>
      <c r="BN283" s="123">
        <f>(BM283/12*2*$E283*$G283*$H283*$M283*$BN$11)+(BM283/12*10*$F283*$G283*$I283*$M283*$BN$11)</f>
        <v>0</v>
      </c>
      <c r="BO283" s="123"/>
      <c r="BP283" s="123">
        <f>(BO283/12*2*$E283*$G283*$H283*$M283*$BP$11)+(BO283/12*10*$F283*$G283*$I283*$M283*$BP$12)</f>
        <v>0</v>
      </c>
      <c r="BQ283" s="123"/>
      <c r="BR283" s="123">
        <f>(BQ283/12*2*$E283*$G283*$H283*$M283*$BR$11)+(BQ283/12*10*$F283*$G283*$I283*$M283*$BR$11)</f>
        <v>0</v>
      </c>
      <c r="BS283" s="123"/>
      <c r="BT283" s="123">
        <f>(BS283/12*2*$E283*$G283*$H283*$N283*$BT$11)+(BS283/12*10*$F283*$G283*$I283*$N283*$BT$11)</f>
        <v>0</v>
      </c>
      <c r="BU283" s="123"/>
      <c r="BV283" s="126">
        <f>(BU283/12*2*$E283*$G283*$H283*$M283*$BV$11)+(BU283/12*10*$F283*$G283*$I283*$M283*$BV$11)</f>
        <v>0</v>
      </c>
      <c r="BW283" s="123"/>
      <c r="BX283" s="123">
        <f>(BW283/12*2*$E283*$G283*$H283*$M283*$BX$11)+(BW283/12*10*$F283*$G283*$I283*$M283*$BX$11)</f>
        <v>0</v>
      </c>
      <c r="BY283" s="123"/>
      <c r="BZ283" s="123">
        <f>(BY283/12*2*$E283*$G283*$H283*$M283*$BZ$11)+(BY283/12*10*$F283*$G283*$I283*$M283*$BZ$11)</f>
        <v>0</v>
      </c>
      <c r="CA283" s="123"/>
      <c r="CB283" s="123">
        <f>(CA283/12*2*$E283*$G283*$H283*$M283*$CB$11)+(CA283/12*10*$F283*$G283*$I283*$M283*$CB$11)</f>
        <v>0</v>
      </c>
      <c r="CC283" s="123"/>
      <c r="CD283" s="123">
        <f>(CC283/12*2*$E283*$G283*$H283*$M283*$CD$11)+(CC283/12*10*$F283*$G283*$I283*$M283*$CD$11)</f>
        <v>0</v>
      </c>
      <c r="CE283" s="123"/>
      <c r="CF283" s="123">
        <f>(CE283/12*10*$F283*$G283*$I283*$N283*$CF$11)</f>
        <v>0</v>
      </c>
      <c r="CG283" s="132">
        <v>72</v>
      </c>
      <c r="CH283" s="123">
        <f>(CG283/12*2*$E283*$G283*$H283*$N283*$CH$11)+(CG283/12*10*$F283*$G283*$I283*$N283*$CH$11)</f>
        <v>3199860.4176000003</v>
      </c>
      <c r="CI283" s="123"/>
      <c r="CJ283" s="127"/>
      <c r="CK283" s="123"/>
      <c r="CL283" s="123">
        <f>(CK283/12*2*$E283*$G283*$H283*$N283*$CL$11)+(CK283/12*10*$F283*$G283*$I283*$N283*$CL$12)</f>
        <v>0</v>
      </c>
      <c r="CM283" s="130"/>
      <c r="CN283" s="123">
        <f>(CM283/12*2*$E283*$G283*$H283*$N283*$CN$11)+(CM283/12*10*$F283*$G283*$I283*$N283*$CN$11)</f>
        <v>0</v>
      </c>
      <c r="CO283" s="123"/>
      <c r="CP283" s="123">
        <f>(CO283/12*2*$E283*$G283*$H283*$N283*$CP$11)+(CO283/12*10*$F283*$G283*$I283*$N283*$CP$11)</f>
        <v>0</v>
      </c>
      <c r="CQ283" s="123"/>
      <c r="CR283" s="123">
        <f>(CQ283/12*2*$E283*$G283*$H283*$O283*$CR$11)+(CQ283/12*10*$F283*$G283*$I283*$O283*$CR$11)</f>
        <v>0</v>
      </c>
      <c r="CS283" s="123"/>
      <c r="CT283" s="133">
        <f>(CS283/12*2*$E283*$G283*$H283*$P283*$CT$11)+(CS283/12*10*$F283*$G283*$I283*$P283*$CT$11)</f>
        <v>0</v>
      </c>
      <c r="CU283" s="127"/>
      <c r="CV283" s="123"/>
      <c r="CW283" s="126">
        <f t="shared" si="450"/>
        <v>170</v>
      </c>
      <c r="CX283" s="126">
        <f t="shared" si="450"/>
        <v>7807889.8615666665</v>
      </c>
    </row>
    <row r="284" spans="1:102" ht="45" x14ac:dyDescent="0.25">
      <c r="A284" s="91"/>
      <c r="B284" s="116">
        <v>222</v>
      </c>
      <c r="C284" s="117" t="s">
        <v>686</v>
      </c>
      <c r="D284" s="161" t="s">
        <v>687</v>
      </c>
      <c r="E284" s="95">
        <v>28004</v>
      </c>
      <c r="F284" s="96">
        <v>29405</v>
      </c>
      <c r="G284" s="119">
        <v>1.35</v>
      </c>
      <c r="H284" s="107">
        <v>1</v>
      </c>
      <c r="I284" s="110">
        <v>0.9</v>
      </c>
      <c r="J284" s="203"/>
      <c r="K284" s="203"/>
      <c r="L284" s="63"/>
      <c r="M284" s="120">
        <v>1.4</v>
      </c>
      <c r="N284" s="120">
        <v>1.68</v>
      </c>
      <c r="O284" s="120">
        <v>2.23</v>
      </c>
      <c r="P284" s="121">
        <v>2.57</v>
      </c>
      <c r="Q284" s="122">
        <v>1166</v>
      </c>
      <c r="R284" s="123">
        <f>(Q284/12*2*$E284*$G284*$H284*$M284)+(Q284/12*10*$F284*$G284*$I284*$M284)</f>
        <v>58886320.18500001</v>
      </c>
      <c r="S284" s="124"/>
      <c r="T284" s="125">
        <f>(S284/12*2*$E284*$G284*$H284*$M284)+(S284/12*10*$F284*$G284*$I284*$M284)</f>
        <v>0</v>
      </c>
      <c r="U284" s="123">
        <v>4</v>
      </c>
      <c r="V284" s="123">
        <f>(U284/12*2*$E284*$G284*$H284*$M284)+(U284/12*10*$F284*$G284*$I284*$M284)</f>
        <v>202011.38999999996</v>
      </c>
      <c r="W284" s="123"/>
      <c r="X284" s="123">
        <f>(W284/12*2*$E284*$G284*$H284*$M284)+(W284/12*10*$F284*$G284*$I284*$M284)</f>
        <v>0</v>
      </c>
      <c r="Y284" s="123"/>
      <c r="Z284" s="123">
        <f>(Y284/12*2*$E284*$G284*$H284*$M284)+(Y284/12*10*$F284*$G284*$I284*$M284)</f>
        <v>0</v>
      </c>
      <c r="AA284" s="123"/>
      <c r="AB284" s="123">
        <f>(AA284*$E284*$G284*$H284*$M284)/12*2+(AA284*$F284*$G284*$I284*$M284)/12*10</f>
        <v>0</v>
      </c>
      <c r="AC284" s="123"/>
      <c r="AD284" s="123"/>
      <c r="AE284" s="123"/>
      <c r="AF284" s="123">
        <f>(AE284/12*2*$E284*$G284*$H284*$M284)+(AE284/12*10*$F284*$G284*$I284*$M284)</f>
        <v>0</v>
      </c>
      <c r="AG284" s="123">
        <v>0</v>
      </c>
      <c r="AH284" s="123">
        <f>(AG284/12*2*$E284*$G284*$H284*$M284)+(AG284/12*10*$F284*$G284*$I284*$M284)</f>
        <v>0</v>
      </c>
      <c r="AI284" s="123"/>
      <c r="AJ284" s="123">
        <f>(AI284/12*2*$E284*$G284*$H284*$M284)+(AI284/12*10*$F284*$G284*$I284*$M284)</f>
        <v>0</v>
      </c>
      <c r="AK284" s="123"/>
      <c r="AL284" s="126">
        <f>(AK284/12*2*$E284*$G284*$H284*$N284)+(AK284/12*10*$F284*$G284*$I284*$N284)</f>
        <v>0</v>
      </c>
      <c r="AM284" s="132"/>
      <c r="AN284" s="123">
        <f>(AM284/12*2*$E284*$G284*$H284*$N284)+(AM284/12*10*$F284*$G284*$I284*$N284)</f>
        <v>0</v>
      </c>
      <c r="AO284" s="130">
        <v>0</v>
      </c>
      <c r="AP284" s="123">
        <f>(AO284/12*2*$E284*$G284*$H284*$N284)+(AO284/12*10*$F284*$G284*$I284*$N284)</f>
        <v>0</v>
      </c>
      <c r="AQ284" s="123">
        <v>0</v>
      </c>
      <c r="AR284" s="123">
        <v>0</v>
      </c>
      <c r="AS284" s="123"/>
      <c r="AT284" s="123"/>
      <c r="AU284" s="123"/>
      <c r="AV284" s="123"/>
      <c r="AW284" s="123"/>
      <c r="AX284" s="123">
        <f>(AW284/12*2*$E284*$G284*$H284*$M284)+(AW284/12*10*$F284*$G284*$I284*$M284)</f>
        <v>0</v>
      </c>
      <c r="AY284" s="123">
        <v>0</v>
      </c>
      <c r="AZ284" s="123">
        <f>(AY284/12*2*$E284*$G284*$H284*$N284)+(AY284/12*10*$F284*$G284*$I284*$N284)</f>
        <v>0</v>
      </c>
      <c r="BA284" s="123"/>
      <c r="BB284" s="123">
        <f>(BA284/12*2*$E284*$G284*$H284*$N284)+(BA284/12*10*$F284*$G284*$I284*$N284)</f>
        <v>0</v>
      </c>
      <c r="BC284" s="123"/>
      <c r="BD284" s="123">
        <f>(BC284/12*2*$E284*$G284*$H284*$N284)+(BC284/12*10*$F284*$G284*$I284*$N284)</f>
        <v>0</v>
      </c>
      <c r="BE284" s="123"/>
      <c r="BF284" s="123">
        <f>(BE284/12*10*$F284*$G284*$I284*$N284)</f>
        <v>0</v>
      </c>
      <c r="BG284" s="123"/>
      <c r="BH284" s="123">
        <f>(BG284/12*2*$E284*$G284*$H284*$N284)+(BG284/12*10*$F284*$G284*$I284*$N284)</f>
        <v>0</v>
      </c>
      <c r="BI284" s="123"/>
      <c r="BJ284" s="123">
        <f>(BI284/12*2*$E284*$G284*$H284*$N284)+(BI284/12*10*$F284*$G284*$I284*$N284)</f>
        <v>0</v>
      </c>
      <c r="BK284" s="123"/>
      <c r="BL284" s="123">
        <f>(BK284/12*2*$E284*$G284*$H284*$N284)+(BK284/12*10*$F284*$G284*$I284*$N284)</f>
        <v>0</v>
      </c>
      <c r="BM284" s="123"/>
      <c r="BN284" s="123"/>
      <c r="BO284" s="123"/>
      <c r="BP284" s="123">
        <f>(BO284/12*2*$E284*$G284*$H284*$M284)+(BO284/12*10*$F284*$G284*$I284*$M284)</f>
        <v>0</v>
      </c>
      <c r="BQ284" s="123"/>
      <c r="BR284" s="123">
        <f>(BQ284/12*2*$E284*$G284*$H284*$M284)+(BQ284/12*10*$F284*$G284*$I284*$M284)</f>
        <v>0</v>
      </c>
      <c r="BS284" s="123"/>
      <c r="BT284" s="123">
        <f>(BS284/12*2*$E284*$G284*$H284*$N284)+(BS284/12*10*$F284*$G284*$I284*$N284)</f>
        <v>0</v>
      </c>
      <c r="BU284" s="123"/>
      <c r="BV284" s="123">
        <f>(BU284/12*2*$E284*$G284*$H284*$M284)+(BU284/12*10*$F284*$G284*$I284*$M284)</f>
        <v>0</v>
      </c>
      <c r="BW284" s="123"/>
      <c r="BX284" s="123">
        <f>(BW284/12*2*$E284*$G284*$H284*$M284)+(BW284/12*10*$F284*$G284*$I284*$M284)</f>
        <v>0</v>
      </c>
      <c r="BY284" s="123"/>
      <c r="BZ284" s="123">
        <f>(BY284/12*2*$E284*$G284*$H284*$M284)+(BY284/12*10*$F284*$G284*$I284*$M284)</f>
        <v>0</v>
      </c>
      <c r="CA284" s="123"/>
      <c r="CB284" s="123">
        <f>(CA284/12*2*$E284*$G284*$H284*$M284)+(CA284/12*10*$F284*$G284*$I284*$M284)</f>
        <v>0</v>
      </c>
      <c r="CC284" s="123"/>
      <c r="CD284" s="123">
        <f>(CC284/12*2*$E284*$G284*$H284*$M284)+(CC284/12*10*$F284*$G284*$I284*$M284)</f>
        <v>0</v>
      </c>
      <c r="CE284" s="123"/>
      <c r="CF284" s="123">
        <f>(CE284/12*10*$F284*$G284*$I284*$N284)</f>
        <v>0</v>
      </c>
      <c r="CG284" s="132">
        <v>400</v>
      </c>
      <c r="CH284" s="123">
        <f>(CG284/12*2*$E284*$G284*$H284*$N284)+(CG284/12*10*$F284*$G284*$I284*$N284)</f>
        <v>24241366.800000004</v>
      </c>
      <c r="CI284" s="123"/>
      <c r="CJ284" s="127">
        <f>(CI284*$E284*$G284*$H284*$N284)</f>
        <v>0</v>
      </c>
      <c r="CK284" s="123"/>
      <c r="CL284" s="123">
        <f>(CK284/12*2*$E284*$G284*$H284*$N284)+(CK284/12*10*$F284*$G284*$I284*$N284)</f>
        <v>0</v>
      </c>
      <c r="CM284" s="130"/>
      <c r="CN284" s="123">
        <f>(CM284/12*2*$E284*$G284*$H284*$N284)+(CM284/12*10*$F284*$G284*$I284*$N284)</f>
        <v>0</v>
      </c>
      <c r="CO284" s="123"/>
      <c r="CP284" s="123">
        <f>(CO284/12*2*$E284*$G284*$H284*$N284)+(CO284/12*10*$F284*$G284*$I284*$N284)</f>
        <v>0</v>
      </c>
      <c r="CQ284" s="123"/>
      <c r="CR284" s="123">
        <f>(CQ284/12*2*$E284*$G284*$H284*$O284)+(CQ284/12*10*$F284*$G284*$I284*$O284)</f>
        <v>0</v>
      </c>
      <c r="CS284" s="123"/>
      <c r="CT284" s="127">
        <f>(CS284/12*2*$E284*$G284*$H284*$P284)+(CS284/12*10*$F284*$G284*$I284*$P284)</f>
        <v>0</v>
      </c>
      <c r="CU284" s="127"/>
      <c r="CV284" s="127"/>
      <c r="CW284" s="126">
        <f t="shared" si="450"/>
        <v>1570</v>
      </c>
      <c r="CX284" s="126">
        <f t="shared" si="450"/>
        <v>83329698.375000015</v>
      </c>
    </row>
    <row r="285" spans="1:102" ht="45" x14ac:dyDescent="0.25">
      <c r="A285" s="91"/>
      <c r="B285" s="116">
        <v>223</v>
      </c>
      <c r="C285" s="117" t="s">
        <v>688</v>
      </c>
      <c r="D285" s="161" t="s">
        <v>689</v>
      </c>
      <c r="E285" s="95">
        <v>28004</v>
      </c>
      <c r="F285" s="96">
        <v>29405</v>
      </c>
      <c r="G285" s="119">
        <v>1.96</v>
      </c>
      <c r="H285" s="107">
        <v>1</v>
      </c>
      <c r="I285" s="108"/>
      <c r="J285" s="108"/>
      <c r="K285" s="108"/>
      <c r="L285" s="63"/>
      <c r="M285" s="120">
        <v>1.4</v>
      </c>
      <c r="N285" s="120">
        <v>1.68</v>
      </c>
      <c r="O285" s="120">
        <v>2.23</v>
      </c>
      <c r="P285" s="121">
        <v>2.57</v>
      </c>
      <c r="Q285" s="122">
        <v>48</v>
      </c>
      <c r="R285" s="123">
        <f>(Q285/12*2*$E285*$G285*$H285*$M285)+(Q285/12*10*$F285*$G285*$H285*$M285)</f>
        <v>3842236.608</v>
      </c>
      <c r="S285" s="124"/>
      <c r="T285" s="125">
        <f>(S285/12*2*$E285*$G285*$H285*$M285)+(S285/12*10*$F285*$G285*$H285*$M285)</f>
        <v>0</v>
      </c>
      <c r="U285" s="123"/>
      <c r="V285" s="123">
        <f>(U285/12*2*$E285*$G285*$H285*$M285)+(U285/12*10*$F285*$G285*$H285*$M285)</f>
        <v>0</v>
      </c>
      <c r="W285" s="123"/>
      <c r="X285" s="123">
        <f>(W285/12*2*$E285*$G285*$H285*$M285)+(W285/12*10*$F285*$G285*$H285*$M285)</f>
        <v>0</v>
      </c>
      <c r="Y285" s="123"/>
      <c r="Z285" s="123">
        <f>(Y285/12*2*$E285*$G285*$H285*$M285)+(Y285/12*10*$F285*$G285*$H285*$M285)</f>
        <v>0</v>
      </c>
      <c r="AA285" s="123"/>
      <c r="AB285" s="123">
        <f>(AA285/12*2*$E285*$G285*$H285*$M285)+(AA285/12*10*$F285*$G285*$H285*$M285)</f>
        <v>0</v>
      </c>
      <c r="AC285" s="123"/>
      <c r="AD285" s="123"/>
      <c r="AE285" s="123"/>
      <c r="AF285" s="123">
        <f>(AE285/12*2*$E285*$G285*$H285*$M285)+(AE285/12*10*$F285*$G285*$H285*$M285)</f>
        <v>0</v>
      </c>
      <c r="AG285" s="123">
        <v>0</v>
      </c>
      <c r="AH285" s="123">
        <f>(AG285/12*2*$E285*$G285*$H285*$M285)+(AG285/12*10*$F285*$G285*$H285*$M285)</f>
        <v>0</v>
      </c>
      <c r="AI285" s="123"/>
      <c r="AJ285" s="123">
        <f>(AI285/12*2*$E285*$G285*$H285*$M285)+(AI285/12*10*$F285*$G285*$H285*$M285)</f>
        <v>0</v>
      </c>
      <c r="AK285" s="123"/>
      <c r="AL285" s="126">
        <f>(AK285/12*2*$E285*$G285*$H285*$N285)+(AK285/12*10*$F285*$G285*$H285*$N285)</f>
        <v>0</v>
      </c>
      <c r="AM285" s="132"/>
      <c r="AN285" s="123">
        <f>(AM285/12*2*$E285*$G285*$H285*$N285)+(AM285/12*10*$F285*$G285*$H285*$N285)</f>
        <v>0</v>
      </c>
      <c r="AO285" s="130"/>
      <c r="AP285" s="123">
        <f>(AO285/12*2*$E285*$G285*$H285*$N285)+(AO285/12*10*$F285*$G285*$H285*$N285)</f>
        <v>0</v>
      </c>
      <c r="AQ285" s="123">
        <v>0</v>
      </c>
      <c r="AR285" s="123">
        <v>0</v>
      </c>
      <c r="AS285" s="123"/>
      <c r="AT285" s="123"/>
      <c r="AU285" s="123"/>
      <c r="AV285" s="123"/>
      <c r="AW285" s="123"/>
      <c r="AX285" s="123">
        <f>(AW285/12*2*$E285*$G285*$H285*$M285)+(AW285/12*10*$F285*$G285*$H285*$M285)</f>
        <v>0</v>
      </c>
      <c r="AY285" s="123">
        <v>0</v>
      </c>
      <c r="AZ285" s="123">
        <f>(AY285/12*2*$E285*$G285*$H285*$N285)+(AY285/12*10*$F285*$G285*$H285*$N285)</f>
        <v>0</v>
      </c>
      <c r="BA285" s="123"/>
      <c r="BB285" s="123">
        <f>(BA285/12*2*$E285*$G285*$H285*$N285)+(BA285/12*10*$F285*$G285*$H285*$N285)</f>
        <v>0</v>
      </c>
      <c r="BC285" s="123"/>
      <c r="BD285" s="123">
        <f>(BC285/12*2*$E285*$G285*$H285*$N285)+(BC285/12*10*$F285*$G285*$H285*$N285)</f>
        <v>0</v>
      </c>
      <c r="BE285" s="123"/>
      <c r="BF285" s="123">
        <f>(BE285/12*10*$F285*$G285*$H285*$N285)</f>
        <v>0</v>
      </c>
      <c r="BG285" s="123"/>
      <c r="BH285" s="123">
        <f>(BG285/12*2*$E285*$G285*$H285*$N285)+(BG285/12*10*$F285*$G285*$H285*$N285)</f>
        <v>0</v>
      </c>
      <c r="BI285" s="123"/>
      <c r="BJ285" s="123">
        <f>(BI285/12*2*$E285*$G285*$H285*$N285)+(BI285/12*10*$F285*$G285*$H285*$N285)</f>
        <v>0</v>
      </c>
      <c r="BK285" s="123"/>
      <c r="BL285" s="123">
        <f>(BK285/12*2*$E285*$G285*$H285*$N285)+(BK285/12*10*$F285*$G285*$H285*$N285)</f>
        <v>0</v>
      </c>
      <c r="BM285" s="123"/>
      <c r="BN285" s="123">
        <f>(BM285/12*2*$E285*$G285*$H285*$M285)+(BM285/12*10*$F285*$G285*$H285*$M285)</f>
        <v>0</v>
      </c>
      <c r="BO285" s="123"/>
      <c r="BP285" s="123">
        <f>(BO285/12*2*$E285*$G285*$H285*$M285)+(BO285/12*10*$F285*$G285*$H285*$M285)</f>
        <v>0</v>
      </c>
      <c r="BQ285" s="123"/>
      <c r="BR285" s="123">
        <f>(BQ285/12*2*$E285*$G285*$H285*$M285)+(BQ285/12*10*$F285*$G285*$H285*$M285)</f>
        <v>0</v>
      </c>
      <c r="BS285" s="123"/>
      <c r="BT285" s="123">
        <f>(BS285/12*2*$E285*$G285*$H285*$N285)+(BS285/12*10*$F285*$G285*$H285*$N285)</f>
        <v>0</v>
      </c>
      <c r="BU285" s="123"/>
      <c r="BV285" s="123">
        <f>(BU285/12*2*$E285*$G285*$H285*$M285)+(BU285/12*10*$F285*$G285*$H285*$M285)</f>
        <v>0</v>
      </c>
      <c r="BW285" s="123"/>
      <c r="BX285" s="123">
        <f>(BW285/12*2*$E285*$G285*$H285*$M285)+(BW285/12*10*$F285*$G285*$H285*$M285)</f>
        <v>0</v>
      </c>
      <c r="BY285" s="123"/>
      <c r="BZ285" s="123">
        <f>(BY285/12*2*$E285*$G285*$H285*$M285)+(BY285/12*10*$F285*$G285*$H285*$M285)</f>
        <v>0</v>
      </c>
      <c r="CA285" s="123"/>
      <c r="CB285" s="123">
        <f>(CA285/12*2*$E285*$G285*$H285*$M285)+(CA285/12*10*$F285*$G285*$H285*$M285)</f>
        <v>0</v>
      </c>
      <c r="CC285" s="123"/>
      <c r="CD285" s="123">
        <f>(CC285/12*2*$E285*$G285*$H285*$M285)+(CC285/12*10*$F285*$G285*$H285*$M285)</f>
        <v>0</v>
      </c>
      <c r="CE285" s="123"/>
      <c r="CF285" s="123">
        <f>(CE285/12*10*$F285*$G285*$H285*$N285)</f>
        <v>0</v>
      </c>
      <c r="CG285" s="132">
        <v>10</v>
      </c>
      <c r="CH285" s="123">
        <f>(CG285/12*2*$E285*$G285*$H285*$N285)+(CG285/12*10*$F285*$G285*$H285*$N285)</f>
        <v>960559.152</v>
      </c>
      <c r="CI285" s="123"/>
      <c r="CJ285" s="127">
        <f>(CI285*$E285*$G285*$H285*$N285)</f>
        <v>0</v>
      </c>
      <c r="CK285" s="123"/>
      <c r="CL285" s="123">
        <f>(CK285/12*2*$E285*$G285*$H285*$N285)+(CK285/12*10*$F285*$G285*$H285*$N285)</f>
        <v>0</v>
      </c>
      <c r="CM285" s="130"/>
      <c r="CN285" s="123">
        <f>(CM285/12*2*$E285*$G285*$H285*$N285)+(CM285/12*10*$F285*$G285*$H285*$N285)</f>
        <v>0</v>
      </c>
      <c r="CO285" s="123"/>
      <c r="CP285" s="123">
        <f>(CO285/12*2*$E285*$G285*$H285*$N285)+(CO285/12*10*$F285*$G285*$H285*$N285)</f>
        <v>0</v>
      </c>
      <c r="CQ285" s="123"/>
      <c r="CR285" s="123">
        <f>(CQ285/12*2*$E285*$G285*$H285*$O285)+(CQ285/12*10*$F285*$G285*$H285*$O285)</f>
        <v>0</v>
      </c>
      <c r="CS285" s="123"/>
      <c r="CT285" s="127">
        <f>(CS285/12*2*$E285*$G285*$H285*$P285)+(CS285/12*10*$F285*$G285*$H285*$P285)</f>
        <v>0</v>
      </c>
      <c r="CU285" s="127"/>
      <c r="CV285" s="127"/>
      <c r="CW285" s="126">
        <f t="shared" si="450"/>
        <v>58</v>
      </c>
      <c r="CX285" s="126">
        <f t="shared" si="450"/>
        <v>4802795.76</v>
      </c>
    </row>
    <row r="286" spans="1:102" ht="24.75" customHeight="1" x14ac:dyDescent="0.25">
      <c r="A286" s="91"/>
      <c r="B286" s="116">
        <v>224</v>
      </c>
      <c r="C286" s="117" t="s">
        <v>690</v>
      </c>
      <c r="D286" s="161" t="s">
        <v>691</v>
      </c>
      <c r="E286" s="95">
        <v>28004</v>
      </c>
      <c r="F286" s="96">
        <v>29405</v>
      </c>
      <c r="G286" s="156">
        <v>29.91</v>
      </c>
      <c r="H286" s="107">
        <v>1</v>
      </c>
      <c r="I286" s="108"/>
      <c r="J286" s="108"/>
      <c r="K286" s="108"/>
      <c r="L286" s="282">
        <v>7.4000000000000003E-3</v>
      </c>
      <c r="M286" s="120">
        <v>1.4</v>
      </c>
      <c r="N286" s="120">
        <v>1.68</v>
      </c>
      <c r="O286" s="120">
        <v>2.23</v>
      </c>
      <c r="P286" s="121">
        <v>2.57</v>
      </c>
      <c r="Q286" s="122">
        <v>0</v>
      </c>
      <c r="R286" s="143">
        <f>(Q286/12*2*$E286*$G286*((1-$L286)+$L286*$M286*H286))+(Q286/12*10*$F286*$G286*((1-$L286)+$L286*$M286*H286))</f>
        <v>0</v>
      </c>
      <c r="S286" s="157"/>
      <c r="T286" s="144"/>
      <c r="U286" s="143"/>
      <c r="V286" s="143">
        <f>(U286/12*2*$E286*$G286*((1-$L286)+$L286*$M286*$H286))+(U286/12*10*$F286*$G286*((1-$L286)+$L286*$M286*$H286))</f>
        <v>0</v>
      </c>
      <c r="W286" s="123"/>
      <c r="X286" s="143">
        <f>(W286/12*2*$E286*$G286*((1-$L286)+$L286*$M286*$H286))+(W286/12*10*$F286*$G286*((1-$L286)+$L286*$M286*$H286))</f>
        <v>0</v>
      </c>
      <c r="Y286" s="123"/>
      <c r="Z286" s="143">
        <f>(Y286/12*2*$E286*$G286*((1-$L286)+$L286*$M286*$H286))+(Y286/12*10*$F286*$G286*((1-$L286)+$L286*$M286*$H286))</f>
        <v>0</v>
      </c>
      <c r="AA286" s="123"/>
      <c r="AB286" s="143">
        <f>(AA286/12*2*$E286*$G286*((1-$L286)+$L286*$M286*$H286))+(AA286/12*10*$F286*$G286*((1-$L286)+$L286*$M286*$H286))</f>
        <v>0</v>
      </c>
      <c r="AC286" s="123"/>
      <c r="AD286" s="123"/>
      <c r="AE286" s="123"/>
      <c r="AF286" s="143">
        <f>(AE286/12*2*$E286*$G286*((1-$L286)+$L286*$M286*$H286))+(AE286/12*10*$F286*$G286*((1-$L286)+$L286*$M286*$H286))</f>
        <v>0</v>
      </c>
      <c r="AG286" s="123">
        <v>0</v>
      </c>
      <c r="AH286" s="143">
        <f>(AG286/12*2*$E286*$G286*((1-$L286)+$L286*$M286*$H286))+(AG286/12*10*$F286*$G286*((1-$L286)+$L286*$M286*$H286))</f>
        <v>0</v>
      </c>
      <c r="AI286" s="123"/>
      <c r="AJ286" s="143">
        <f>(AI286/12*2*$E286*$G286*((1-$L286)+$L286*$M286*$H286))+(AI286/12*10*$F286*$G286*((1-$L286)+$L286*$M286*$H286))</f>
        <v>0</v>
      </c>
      <c r="AK286" s="123"/>
      <c r="AL286" s="143">
        <f>(AK286/12*2*$E286*$G286*((1-$L286)+$L286*$N286*$H286))+(AK286/12*10*$F286*$G286*((1-$L286)+$L286*$N286*$H286))</f>
        <v>0</v>
      </c>
      <c r="AM286" s="132"/>
      <c r="AN286" s="143">
        <f>(AM286/12*2*$E286*$G286*((1-$L286)+$L286*$N286*$H286))+(AM286/12*10*$F286*$G286*((1-$L286)+$L286*$N286*$H286))</f>
        <v>0</v>
      </c>
      <c r="AO286" s="130"/>
      <c r="AP286" s="143">
        <f>(AO286/12*2*$E286*$G286*((1-$L286)+$L286*$N286*$H286))+(AO286/12*10*$F286*$G286*((1-$L286)+$L286*$N286*$H286))</f>
        <v>0</v>
      </c>
      <c r="AQ286" s="143">
        <v>0</v>
      </c>
      <c r="AR286" s="143">
        <v>0</v>
      </c>
      <c r="AS286" s="123"/>
      <c r="AT286" s="123"/>
      <c r="AU286" s="123"/>
      <c r="AV286" s="123"/>
      <c r="AW286" s="123"/>
      <c r="AX286" s="123"/>
      <c r="AY286" s="123">
        <v>0</v>
      </c>
      <c r="AZ286" s="143"/>
      <c r="BA286" s="123"/>
      <c r="BB286" s="123"/>
      <c r="BC286" s="123"/>
      <c r="BD286" s="123"/>
      <c r="BE286" s="123"/>
      <c r="BF286" s="123">
        <f>(BE286/12*10*$F286*$G286*$H286*$N286)</f>
        <v>0</v>
      </c>
      <c r="BG286" s="123"/>
      <c r="BH286" s="123"/>
      <c r="BI286" s="123"/>
      <c r="BJ286" s="123"/>
      <c r="BK286" s="123"/>
      <c r="BL286" s="127"/>
      <c r="BM286" s="123"/>
      <c r="BN286" s="143">
        <f>(BM286/12*2*$E286*$G286*((1-$L286)+$L286*$H286*$M286))+(BM286/12*10*$F286*$G286*((1-$L286)+$L286*$H286*$M286))</f>
        <v>0</v>
      </c>
      <c r="BO286" s="123"/>
      <c r="BP286" s="123"/>
      <c r="BQ286" s="123"/>
      <c r="BR286" s="123"/>
      <c r="BS286" s="123"/>
      <c r="BT286" s="123"/>
      <c r="BU286" s="123"/>
      <c r="BV286" s="123"/>
      <c r="BW286" s="123"/>
      <c r="BX286" s="123"/>
      <c r="BY286" s="123"/>
      <c r="BZ286" s="123"/>
      <c r="CA286" s="123"/>
      <c r="CB286" s="123"/>
      <c r="CC286" s="123"/>
      <c r="CD286" s="123"/>
      <c r="CE286" s="123"/>
      <c r="CF286" s="123"/>
      <c r="CG286" s="132"/>
      <c r="CH286" s="123"/>
      <c r="CI286" s="123"/>
      <c r="CJ286" s="127"/>
      <c r="CK286" s="123"/>
      <c r="CL286" s="123"/>
      <c r="CM286" s="130"/>
      <c r="CN286" s="123"/>
      <c r="CO286" s="123"/>
      <c r="CP286" s="123"/>
      <c r="CQ286" s="123"/>
      <c r="CR286" s="123"/>
      <c r="CS286" s="123"/>
      <c r="CT286" s="127"/>
      <c r="CU286" s="127"/>
      <c r="CV286" s="127"/>
      <c r="CW286" s="126">
        <f t="shared" si="450"/>
        <v>0</v>
      </c>
      <c r="CX286" s="126">
        <f t="shared" si="450"/>
        <v>0</v>
      </c>
    </row>
    <row r="287" spans="1:102" ht="15.75" customHeight="1" x14ac:dyDescent="0.25">
      <c r="A287" s="109">
        <v>21</v>
      </c>
      <c r="B287" s="150"/>
      <c r="C287" s="93" t="s">
        <v>692</v>
      </c>
      <c r="D287" s="164" t="s">
        <v>693</v>
      </c>
      <c r="E287" s="95">
        <v>28004</v>
      </c>
      <c r="F287" s="96">
        <v>29405</v>
      </c>
      <c r="G287" s="151">
        <v>0.92</v>
      </c>
      <c r="H287" s="166"/>
      <c r="I287" s="108"/>
      <c r="J287" s="108"/>
      <c r="K287" s="108"/>
      <c r="L287" s="111"/>
      <c r="M287" s="112">
        <v>1.4</v>
      </c>
      <c r="N287" s="112">
        <v>1.68</v>
      </c>
      <c r="O287" s="112">
        <v>2.23</v>
      </c>
      <c r="P287" s="113">
        <v>2.57</v>
      </c>
      <c r="Q287" s="103">
        <f>SUM(Q288:Q296)</f>
        <v>0</v>
      </c>
      <c r="R287" s="104">
        <f>SUM(R288:R296)</f>
        <v>0</v>
      </c>
      <c r="S287" s="114">
        <f t="shared" ref="S287:CD287" si="453">SUM(S288:S296)</f>
        <v>0</v>
      </c>
      <c r="T287" s="115">
        <f t="shared" si="453"/>
        <v>0</v>
      </c>
      <c r="U287" s="104">
        <f t="shared" si="453"/>
        <v>0</v>
      </c>
      <c r="V287" s="104">
        <f t="shared" si="453"/>
        <v>0</v>
      </c>
      <c r="W287" s="104">
        <f t="shared" si="453"/>
        <v>0</v>
      </c>
      <c r="X287" s="104">
        <f t="shared" si="453"/>
        <v>0</v>
      </c>
      <c r="Y287" s="104">
        <f t="shared" si="453"/>
        <v>0</v>
      </c>
      <c r="Z287" s="104">
        <f t="shared" si="453"/>
        <v>0</v>
      </c>
      <c r="AA287" s="104">
        <f t="shared" si="453"/>
        <v>0</v>
      </c>
      <c r="AB287" s="104">
        <f t="shared" si="453"/>
        <v>0</v>
      </c>
      <c r="AC287" s="104">
        <f t="shared" si="453"/>
        <v>0</v>
      </c>
      <c r="AD287" s="104">
        <f t="shared" si="453"/>
        <v>0</v>
      </c>
      <c r="AE287" s="104">
        <f t="shared" si="453"/>
        <v>0</v>
      </c>
      <c r="AF287" s="105">
        <f t="shared" si="453"/>
        <v>0</v>
      </c>
      <c r="AG287" s="104">
        <f t="shared" si="453"/>
        <v>3593</v>
      </c>
      <c r="AH287" s="104">
        <f t="shared" si="453"/>
        <v>114493202.24357665</v>
      </c>
      <c r="AI287" s="106">
        <f t="shared" si="453"/>
        <v>0</v>
      </c>
      <c r="AJ287" s="104">
        <f t="shared" si="453"/>
        <v>0</v>
      </c>
      <c r="AK287" s="104">
        <f t="shared" si="453"/>
        <v>1</v>
      </c>
      <c r="AL287" s="104">
        <f t="shared" si="453"/>
        <v>41777.264760000005</v>
      </c>
      <c r="AM287" s="104">
        <f t="shared" si="453"/>
        <v>0</v>
      </c>
      <c r="AN287" s="104">
        <f t="shared" si="453"/>
        <v>0</v>
      </c>
      <c r="AO287" s="106">
        <f t="shared" si="453"/>
        <v>0</v>
      </c>
      <c r="AP287" s="104">
        <f t="shared" si="453"/>
        <v>0</v>
      </c>
      <c r="AQ287" s="104">
        <v>0</v>
      </c>
      <c r="AR287" s="104">
        <v>0</v>
      </c>
      <c r="AS287" s="104">
        <f t="shared" si="453"/>
        <v>0</v>
      </c>
      <c r="AT287" s="104">
        <f t="shared" si="453"/>
        <v>0</v>
      </c>
      <c r="AU287" s="104">
        <f t="shared" si="453"/>
        <v>0</v>
      </c>
      <c r="AV287" s="104">
        <f t="shared" si="453"/>
        <v>0</v>
      </c>
      <c r="AW287" s="104">
        <f t="shared" si="453"/>
        <v>0</v>
      </c>
      <c r="AX287" s="104">
        <f t="shared" si="453"/>
        <v>0</v>
      </c>
      <c r="AY287" s="104">
        <f t="shared" si="453"/>
        <v>0</v>
      </c>
      <c r="AZ287" s="104">
        <f t="shared" si="453"/>
        <v>0</v>
      </c>
      <c r="BA287" s="104">
        <f t="shared" si="453"/>
        <v>0</v>
      </c>
      <c r="BB287" s="104">
        <f t="shared" si="453"/>
        <v>0</v>
      </c>
      <c r="BC287" s="104">
        <f t="shared" si="453"/>
        <v>0</v>
      </c>
      <c r="BD287" s="104">
        <f t="shared" si="453"/>
        <v>0</v>
      </c>
      <c r="BE287" s="104">
        <f t="shared" si="453"/>
        <v>0</v>
      </c>
      <c r="BF287" s="104">
        <f t="shared" si="453"/>
        <v>0</v>
      </c>
      <c r="BG287" s="104">
        <f t="shared" si="453"/>
        <v>2</v>
      </c>
      <c r="BH287" s="104">
        <f t="shared" si="453"/>
        <v>44989.454159999987</v>
      </c>
      <c r="BI287" s="104">
        <f t="shared" si="453"/>
        <v>10</v>
      </c>
      <c r="BJ287" s="104">
        <f t="shared" si="453"/>
        <v>344037.0024</v>
      </c>
      <c r="BK287" s="104">
        <f t="shared" si="453"/>
        <v>0</v>
      </c>
      <c r="BL287" s="104">
        <f t="shared" si="453"/>
        <v>0</v>
      </c>
      <c r="BM287" s="104">
        <f t="shared" si="453"/>
        <v>0</v>
      </c>
      <c r="BN287" s="104">
        <f t="shared" si="453"/>
        <v>0</v>
      </c>
      <c r="BO287" s="104">
        <f t="shared" si="453"/>
        <v>0</v>
      </c>
      <c r="BP287" s="104">
        <f t="shared" si="453"/>
        <v>0</v>
      </c>
      <c r="BQ287" s="104">
        <f t="shared" si="453"/>
        <v>0</v>
      </c>
      <c r="BR287" s="104">
        <f t="shared" si="453"/>
        <v>0</v>
      </c>
      <c r="BS287" s="104">
        <f t="shared" si="453"/>
        <v>0</v>
      </c>
      <c r="BT287" s="104">
        <f t="shared" si="453"/>
        <v>0</v>
      </c>
      <c r="BU287" s="104">
        <f t="shared" si="453"/>
        <v>0</v>
      </c>
      <c r="BV287" s="104">
        <f t="shared" si="453"/>
        <v>0</v>
      </c>
      <c r="BW287" s="104">
        <f t="shared" si="453"/>
        <v>0</v>
      </c>
      <c r="BX287" s="104">
        <f t="shared" si="453"/>
        <v>0</v>
      </c>
      <c r="BY287" s="104">
        <f t="shared" si="453"/>
        <v>0</v>
      </c>
      <c r="BZ287" s="104">
        <f t="shared" si="453"/>
        <v>0</v>
      </c>
      <c r="CA287" s="104">
        <f t="shared" si="453"/>
        <v>0</v>
      </c>
      <c r="CB287" s="104">
        <f t="shared" si="453"/>
        <v>0</v>
      </c>
      <c r="CC287" s="104">
        <f t="shared" si="453"/>
        <v>0</v>
      </c>
      <c r="CD287" s="104">
        <f t="shared" si="453"/>
        <v>0</v>
      </c>
      <c r="CE287" s="104">
        <f t="shared" ref="CE287:CX287" si="454">SUM(CE288:CE296)</f>
        <v>0</v>
      </c>
      <c r="CF287" s="104">
        <f t="shared" si="454"/>
        <v>0</v>
      </c>
      <c r="CG287" s="104">
        <f t="shared" si="454"/>
        <v>1300</v>
      </c>
      <c r="CH287" s="104">
        <f t="shared" si="454"/>
        <v>31720485.213760003</v>
      </c>
      <c r="CI287" s="104">
        <f t="shared" si="454"/>
        <v>0</v>
      </c>
      <c r="CJ287" s="104">
        <f t="shared" si="454"/>
        <v>0</v>
      </c>
      <c r="CK287" s="104">
        <f t="shared" si="454"/>
        <v>0</v>
      </c>
      <c r="CL287" s="104">
        <f t="shared" si="454"/>
        <v>0</v>
      </c>
      <c r="CM287" s="104">
        <f t="shared" si="454"/>
        <v>0</v>
      </c>
      <c r="CN287" s="104">
        <f t="shared" si="454"/>
        <v>0</v>
      </c>
      <c r="CO287" s="104">
        <f t="shared" si="454"/>
        <v>0</v>
      </c>
      <c r="CP287" s="104">
        <f t="shared" si="454"/>
        <v>0</v>
      </c>
      <c r="CQ287" s="104">
        <f t="shared" si="454"/>
        <v>10</v>
      </c>
      <c r="CR287" s="104">
        <f t="shared" si="454"/>
        <v>331767.46950000001</v>
      </c>
      <c r="CS287" s="104">
        <f t="shared" si="454"/>
        <v>3</v>
      </c>
      <c r="CT287" s="104">
        <f t="shared" si="454"/>
        <v>148442.0949</v>
      </c>
      <c r="CU287" s="104">
        <f t="shared" si="454"/>
        <v>0</v>
      </c>
      <c r="CV287" s="104">
        <f t="shared" si="454"/>
        <v>0</v>
      </c>
      <c r="CW287" s="104">
        <f t="shared" si="454"/>
        <v>4919</v>
      </c>
      <c r="CX287" s="104">
        <f t="shared" si="454"/>
        <v>147124700.74305665</v>
      </c>
    </row>
    <row r="288" spans="1:102" ht="18.75" x14ac:dyDescent="0.25">
      <c r="A288" s="91"/>
      <c r="B288" s="116">
        <v>225</v>
      </c>
      <c r="C288" s="117" t="s">
        <v>694</v>
      </c>
      <c r="D288" s="161" t="s">
        <v>695</v>
      </c>
      <c r="E288" s="95">
        <v>28004</v>
      </c>
      <c r="F288" s="96">
        <v>29405</v>
      </c>
      <c r="G288" s="119">
        <v>0.49</v>
      </c>
      <c r="H288" s="110">
        <v>0.8</v>
      </c>
      <c r="I288" s="110"/>
      <c r="J288" s="110"/>
      <c r="K288" s="110"/>
      <c r="L288" s="63"/>
      <c r="M288" s="120">
        <v>1.4</v>
      </c>
      <c r="N288" s="120">
        <v>1.68</v>
      </c>
      <c r="O288" s="120">
        <v>2.23</v>
      </c>
      <c r="P288" s="121">
        <v>2.57</v>
      </c>
      <c r="Q288" s="122"/>
      <c r="R288" s="123">
        <f>(Q288/12*2*$E288*$G288*$H288*$M288*$R$11)+(Q288/12*10*$F288*$G288*$H288*$M288*$R$11)</f>
        <v>0</v>
      </c>
      <c r="S288" s="124"/>
      <c r="T288" s="125">
        <f>(S288/12*2*$E288*$G288*$H288*$M288*$R$11)+(S288/12*10*$F288*$G288*$H288*$M288*$R$11)</f>
        <v>0</v>
      </c>
      <c r="U288" s="123"/>
      <c r="V288" s="123">
        <f>(U288/12*2*$E288*$G288*$H288*$M288*$V$11)+(U288/12*10*$F288*$G288*$H288*$M288*$V$12)</f>
        <v>0</v>
      </c>
      <c r="W288" s="123"/>
      <c r="X288" s="126">
        <f>(W288/12*2*$E288*$G288*$H288*$M288*$X$11)+(W288/12*10*$F288*$G288*$H288*$M288*$X$12)</f>
        <v>0</v>
      </c>
      <c r="Y288" s="123"/>
      <c r="Z288" s="123">
        <f>(Y288/12*2*$E288*$G288*$H288*$M288*$Z$11)+(Y288/12*10*$F288*$G288*$H288*$M288*$Z$12)</f>
        <v>0</v>
      </c>
      <c r="AA288" s="123"/>
      <c r="AB288" s="123">
        <f>(AA288/12*2*$E288*$G288*$H288*$M288*$AB$11)+(AA288/12*10*$F288*$G288*$H288*$M288*$AB$11)</f>
        <v>0</v>
      </c>
      <c r="AC288" s="224"/>
      <c r="AD288" s="126">
        <f>(AC288*$E288*$G288*$H288*$M288*$AD$11)</f>
        <v>0</v>
      </c>
      <c r="AE288" s="123"/>
      <c r="AF288" s="127">
        <f>(AE288/12*2*$E288*$G288*$H288*$M288*$AF$11)+(AE288/12*10*$F288*$G288*$H288*$M288*$AF$11)</f>
        <v>0</v>
      </c>
      <c r="AG288" s="123">
        <f>675-20</f>
        <v>655</v>
      </c>
      <c r="AH288" s="126">
        <f>(AG288/12*2*$E288*$G288*$H288*$M288*$AH$11)+(AG288/12*10*$F288*$G288*$H288*$M288*$AH$11)</f>
        <v>11534714.483600002</v>
      </c>
      <c r="AI288" s="130"/>
      <c r="AJ288" s="123">
        <f t="shared" ref="AJ288:AJ290" si="455">(AI288/12*2*$E288*$G288*$H288*$M288*$AJ$11)+(AI288/12*5*$F288*$G288*$H288*$M288*$AJ$12)+(AI288/12*5*$F288*$G288*$H288*$M288*$AJ$13)</f>
        <v>0</v>
      </c>
      <c r="AK288" s="123"/>
      <c r="AL288" s="123">
        <f t="shared" ref="AL288:AL290" si="456">(AK288/12*2*$E288*$G288*$H288*$N288*$AL$11)+(AK288/12*5*$F288*$G288*$H288*$N288*$AL$12)++(AK288/12*5*$F288*$G288*$H288*$N288*$AL$13)</f>
        <v>0</v>
      </c>
      <c r="AM288" s="132"/>
      <c r="AN288" s="123">
        <f>(AM288/12*2*$E288*$G288*$H288*$N288*$AN$11)+(AM288/12*10*$F288*$G288*$H288*$N288*$AN$12)</f>
        <v>0</v>
      </c>
      <c r="AO288" s="130"/>
      <c r="AP288" s="127">
        <f>(AO288/12*2*$E288*$G288*$H288*$N288*$AP$11)+(AO288/12*10*$F288*$G288*$H288*$N288*$AP$11)</f>
        <v>0</v>
      </c>
      <c r="AQ288" s="127">
        <v>0</v>
      </c>
      <c r="AR288" s="127">
        <v>0</v>
      </c>
      <c r="AS288" s="123"/>
      <c r="AT288" s="123">
        <f>(AS288/12*2*$E288*$G288*$H288*$M288*$AT$11)+(AS288/12*10*$F288*$G288*$H288*$M288*$AT$11)</f>
        <v>0</v>
      </c>
      <c r="AU288" s="123"/>
      <c r="AV288" s="126">
        <f>(AU288/12*2*$E288*$G288*$H288*$M288*$AV$11)+(AU288/12*10*$F288*$G288*$H288*$M288*$AV$12)</f>
        <v>0</v>
      </c>
      <c r="AW288" s="123"/>
      <c r="AX288" s="123">
        <f>(AW288/12*2*$E288*$G288*$H288*$M288*$AX$11)+(AW288/12*10*$F288*$G288*$H288*$M288*$AX$12)</f>
        <v>0</v>
      </c>
      <c r="AY288" s="131"/>
      <c r="AZ288" s="123">
        <f>(AY288/12*2*$E288*$G288*$H288*$N288*$AZ$11)+(AY288/12*10*$F288*$G288*$H288*$N288*$AZ$11)</f>
        <v>0</v>
      </c>
      <c r="BA288" s="123"/>
      <c r="BB288" s="123">
        <f>(BA288/12*2*$E288*$G288*$H288*$N288*$BB$11)+(BA288/12*10*$F288*$G288*$H288*$N288*$BB$12)</f>
        <v>0</v>
      </c>
      <c r="BC288" s="123"/>
      <c r="BD288" s="126">
        <f>(BC288/12*2*$E288*$G288*$H288*$N288*$BD$11)+(BC288/12*10*$F288*$G288*$H288*$N288*$BD$12)</f>
        <v>0</v>
      </c>
      <c r="BE288" s="123"/>
      <c r="BF288" s="123">
        <f>(BE288/12*10*$F288*$G288*$H288*$N288*$BF$12)</f>
        <v>0</v>
      </c>
      <c r="BG288" s="123"/>
      <c r="BH288" s="123">
        <f>(BG288/12*2*$E288*$G288*$H288*$N288*$BH$11)+(BG288/12*10*$F288*$G288*$H288*$N288*$BH$11)</f>
        <v>0</v>
      </c>
      <c r="BI288" s="123"/>
      <c r="BJ288" s="126">
        <f>(BI288/12*2*$E288*$G288*$H288*$N288*$BJ$11)+(BI288/12*10*$F288*$G288*$H288*$N288*$BJ$11)</f>
        <v>0</v>
      </c>
      <c r="BK288" s="123"/>
      <c r="BL288" s="127">
        <f>(BK288/12*2*$E288*$G288*$H288*$N288*$BL$11)+(BK288/12*10*$F288*$G288*$H288*$N288*$BL$11)</f>
        <v>0</v>
      </c>
      <c r="BM288" s="123"/>
      <c r="BN288" s="123">
        <f>(BM288/12*2*$E288*$G288*$H288*$M288*$BN$11)+(BM288/12*10*$F288*$G288*$H288*$M288*$BN$11)</f>
        <v>0</v>
      </c>
      <c r="BO288" s="123"/>
      <c r="BP288" s="123">
        <f>(BO288/12*2*$E288*$G288*$H288*$M288*$BP$11)+(BO288/12*10*$F288*$G288*$H288*$M288*$BP$12)</f>
        <v>0</v>
      </c>
      <c r="BQ288" s="123"/>
      <c r="BR288" s="123">
        <f>(BQ288/12*2*$E288*$G288*$H288*$M288*$BR$11)+(BQ288/12*10*$F288*$G288*$H288*$M288*$BR$11)</f>
        <v>0</v>
      </c>
      <c r="BS288" s="123"/>
      <c r="BT288" s="123">
        <f>(BS288/12*2*$E288*$G288*$H288*$N288*$BT$11)+(BS288/12*10*$F288*$G288*$H288*$N288*$BT$11)</f>
        <v>0</v>
      </c>
      <c r="BU288" s="123"/>
      <c r="BV288" s="126">
        <f>(BU288/12*2*$E288*$G288*$H288*$M288*$BV$11)+(BU288/12*10*$F288*$G288*$H288*$M288*$BV$11)</f>
        <v>0</v>
      </c>
      <c r="BW288" s="123"/>
      <c r="BX288" s="123">
        <f>(BW288/12*2*$E288*$G288*$H288*$M288*$BX$11)+(BW288/12*10*$F288*$G288*$H288*$M288*$BX$11)</f>
        <v>0</v>
      </c>
      <c r="BY288" s="123"/>
      <c r="BZ288" s="123">
        <f>(BY288/12*2*$E288*$G288*$H288*$M288*$BZ$11)+(BY288/12*10*$F288*$G288*$H288*$M288*$BZ$11)</f>
        <v>0</v>
      </c>
      <c r="CA288" s="123"/>
      <c r="CB288" s="123">
        <f>(CA288/12*2*$E288*$G288*$H288*$M288*$CB$11)+(CA288/12*10*$F288*$G288*$H288*$M288*$CB$11)</f>
        <v>0</v>
      </c>
      <c r="CC288" s="123"/>
      <c r="CD288" s="123">
        <f>(CC288/12*2*$E288*$G288*$H288*$M288*$CD$11)+(CC288/12*10*$F288*$G288*$H288*$M288*$CD$11)</f>
        <v>0</v>
      </c>
      <c r="CE288" s="123"/>
      <c r="CF288" s="123">
        <f>(CE288/12*10*$F288*$G288*$H288*$N288*$CF$11)</f>
        <v>0</v>
      </c>
      <c r="CG288" s="132">
        <v>200</v>
      </c>
      <c r="CH288" s="123">
        <f>(CG288/12*2*$E288*$G288*$H288*$N288*$CH$11)+(CG288/12*10*$F288*$G288*$H288*$N288*$CH$11)</f>
        <v>3458012.9472000003</v>
      </c>
      <c r="CI288" s="123"/>
      <c r="CJ288" s="127">
        <f>(CI288*$E288*$G288*$H288*$N288*CJ$11)</f>
        <v>0</v>
      </c>
      <c r="CK288" s="123"/>
      <c r="CL288" s="123">
        <f>(CK288/12*2*$E288*$G288*$H288*$N288*$CL$11)+(CK288/12*10*$F288*$G288*$H288*$N288*$CL$12)</f>
        <v>0</v>
      </c>
      <c r="CM288" s="130"/>
      <c r="CN288" s="123">
        <f>(CM288/12*2*$E288*$G288*$H288*$N288*$CN$11)+(CM288/12*10*$F288*$G288*$H288*$N288*$CN$11)</f>
        <v>0</v>
      </c>
      <c r="CO288" s="123"/>
      <c r="CP288" s="123">
        <f>(CO288/12*2*$E288*$G288*$H288*$N288*$CP$11)+(CO288/12*10*$F288*$G288*$H288*$N288*$CP$11)</f>
        <v>0</v>
      </c>
      <c r="CQ288" s="123"/>
      <c r="CR288" s="123">
        <f>(CQ288/12*2*$E288*$G288*$H288*$O288*$CR$11)+(CQ288/12*10*$F288*$G288*$H288*$O288*$CR$11)</f>
        <v>0</v>
      </c>
      <c r="CS288" s="123"/>
      <c r="CT288" s="133">
        <f>(CS288/12*2*$E288*$G288*$H288*$P288*$CT$11)+(CS288/12*10*$F288*$G288*$H288*$P288*$CT$11)</f>
        <v>0</v>
      </c>
      <c r="CU288" s="127"/>
      <c r="CV288" s="123">
        <f>(CU288*$E288*$G288*$H288*$M288*CV$11)/12*6+(CU288*$E288*$G288*$H288*1*CV$11)/12*6</f>
        <v>0</v>
      </c>
      <c r="CW288" s="126">
        <f t="shared" ref="CW288:CX295" si="457">SUM(Q288,S288,U288,W288,Y288,AA288,AC288,AE288,AG288,AM288,BQ288,AI288,AU288,CC288,AW288,AY288,AK288,BC288,AO288,AQ288,BE288,CE288,BG288,BI288,BK288,BS288,BM288,BO288,BU288,BW288,BY288,CA288,CG288,BA288,AS288,CI288,CK288,CM288,CO288,CQ288,CS288,CU288)</f>
        <v>855</v>
      </c>
      <c r="CX288" s="126">
        <f t="shared" si="457"/>
        <v>14992727.430800002</v>
      </c>
    </row>
    <row r="289" spans="1:102" ht="18.75" x14ac:dyDescent="0.25">
      <c r="A289" s="91"/>
      <c r="B289" s="116">
        <v>226</v>
      </c>
      <c r="C289" s="117" t="s">
        <v>696</v>
      </c>
      <c r="D289" s="161" t="s">
        <v>697</v>
      </c>
      <c r="E289" s="95">
        <v>28004</v>
      </c>
      <c r="F289" s="96">
        <v>29405</v>
      </c>
      <c r="G289" s="119">
        <v>0.79</v>
      </c>
      <c r="H289" s="110">
        <v>0.85</v>
      </c>
      <c r="I289" s="110"/>
      <c r="J289" s="110"/>
      <c r="K289" s="110"/>
      <c r="L289" s="63"/>
      <c r="M289" s="120">
        <v>1.4</v>
      </c>
      <c r="N289" s="120">
        <v>1.68</v>
      </c>
      <c r="O289" s="120">
        <v>2.23</v>
      </c>
      <c r="P289" s="121">
        <v>2.57</v>
      </c>
      <c r="Q289" s="122"/>
      <c r="R289" s="123">
        <f>(Q289/12*2*$E289*$G289*$H289*$M289*$R$11)+(Q289/12*10*$F289*$G289*$H289*$M289*$R$11)</f>
        <v>0</v>
      </c>
      <c r="S289" s="124"/>
      <c r="T289" s="125">
        <f>(S289/12*2*$E289*$G289*$H289*$M289*$R$11)+(S289/12*10*$F289*$G289*$H289*$M289*$R$11)</f>
        <v>0</v>
      </c>
      <c r="U289" s="123"/>
      <c r="V289" s="123">
        <f>(U289/12*2*$E289*$G289*$H289*$M289*$V$11)+(U289/12*10*$F289*$G289*$H289*$M289*$V$12)</f>
        <v>0</v>
      </c>
      <c r="W289" s="123"/>
      <c r="X289" s="126">
        <f>(W289/12*2*$E289*$G289*$H289*$M289*$X$11)+(W289/12*10*$F289*$G289*$H289*$M289*$X$12)</f>
        <v>0</v>
      </c>
      <c r="Y289" s="123"/>
      <c r="Z289" s="123">
        <f>(Y289/12*2*$E289*$G289*$H289*$M289*$Z$11)+(Y289/12*10*$F289*$G289*$H289*$M289*$Z$12)</f>
        <v>0</v>
      </c>
      <c r="AA289" s="123"/>
      <c r="AB289" s="123">
        <f>(AA289/12*2*$E289*$G289*$H289*$M289*$AB$11)+(AA289/12*10*$F289*$G289*$H289*$M289*$AB$11)</f>
        <v>0</v>
      </c>
      <c r="AC289" s="224"/>
      <c r="AD289" s="126">
        <f>(AC289*$E289*$G289*$H289*$M289*$AD$11)</f>
        <v>0</v>
      </c>
      <c r="AE289" s="123"/>
      <c r="AF289" s="127">
        <f>(AE289/12*2*$E289*$G289*$H289*$M289*$AF$11)+(AE289/12*10*$F289*$G289*$H289*$M289*$AF$11)</f>
        <v>0</v>
      </c>
      <c r="AG289" s="123">
        <v>100</v>
      </c>
      <c r="AH289" s="126">
        <f>(AG289/12*2*$E289*$G289*$H289*$M289*$AH$11)+(AG289/12*10*$F289*$G289*$H289*$M289*$AH$11)</f>
        <v>3016653.9865000001</v>
      </c>
      <c r="AI289" s="130"/>
      <c r="AJ289" s="123">
        <f t="shared" si="455"/>
        <v>0</v>
      </c>
      <c r="AK289" s="123"/>
      <c r="AL289" s="123">
        <f t="shared" si="456"/>
        <v>0</v>
      </c>
      <c r="AM289" s="132"/>
      <c r="AN289" s="123">
        <f>(AM289/12*2*$E289*$G289*$H289*$N289*$AN$11)+(AM289/12*10*$F289*$G289*$H289*$N289*$AN$12)</f>
        <v>0</v>
      </c>
      <c r="AO289" s="130"/>
      <c r="AP289" s="127">
        <f>(AO289/12*2*$E289*$G289*$H289*$N289*$AP$11)+(AO289/12*10*$F289*$G289*$H289*$N289*$AP$11)</f>
        <v>0</v>
      </c>
      <c r="AQ289" s="127">
        <v>0</v>
      </c>
      <c r="AR289" s="127">
        <v>0</v>
      </c>
      <c r="AS289" s="123"/>
      <c r="AT289" s="123">
        <f>(AS289/12*2*$E289*$G289*$H289*$M289*$AT$11)+(AS289/12*10*$F289*$G289*$H289*$M289*$AT$11)</f>
        <v>0</v>
      </c>
      <c r="AU289" s="123"/>
      <c r="AV289" s="126">
        <f>(AU289/12*2*$E289*$G289*$H289*$M289*$AV$11)+(AU289/12*10*$F289*$G289*$H289*$M289*$AV$12)</f>
        <v>0</v>
      </c>
      <c r="AW289" s="123"/>
      <c r="AX289" s="123">
        <f>(AW289/12*2*$E289*$G289*$H289*$M289*$AX$11)+(AW289/12*10*$F289*$G289*$H289*$M289*$AX$12)</f>
        <v>0</v>
      </c>
      <c r="AY289" s="123"/>
      <c r="AZ289" s="123">
        <f>(AY289/12*2*$E289*$G289*$H289*$N289*$AZ$11)+(AY289/12*10*$F289*$G289*$H289*$N289*$AZ$11)</f>
        <v>0</v>
      </c>
      <c r="BA289" s="123"/>
      <c r="BB289" s="123">
        <f>(BA289/12*2*$E289*$G289*$H289*$N289*$BB$11)+(BA289/12*10*$F289*$G289*$H289*$N289*$BB$12)</f>
        <v>0</v>
      </c>
      <c r="BC289" s="123"/>
      <c r="BD289" s="126">
        <f>(BC289/12*2*$E289*$G289*$H289*$N289*$BD$11)+(BC289/12*10*$F289*$G289*$H289*$N289*$BD$12)</f>
        <v>0</v>
      </c>
      <c r="BE289" s="123"/>
      <c r="BF289" s="123">
        <f>(BE289/12*10*$F289*$G289*$H289*$N289*$BF$12)</f>
        <v>0</v>
      </c>
      <c r="BG289" s="123"/>
      <c r="BH289" s="123">
        <f>(BG289/12*2*$E289*$G289*$H289*$N289*$BH$11)+(BG289/12*10*$F289*$G289*$H289*$N289*$BH$11)</f>
        <v>0</v>
      </c>
      <c r="BI289" s="123"/>
      <c r="BJ289" s="126">
        <f>(BI289/12*2*$E289*$G289*$H289*$N289*$BJ$11)+(BI289/12*10*$F289*$G289*$H289*$N289*$BJ$11)</f>
        <v>0</v>
      </c>
      <c r="BK289" s="123"/>
      <c r="BL289" s="127">
        <f>(BK289/12*2*$E289*$G289*$H289*$N289*$BL$11)+(BK289/12*10*$F289*$G289*$H289*$N289*$BL$11)</f>
        <v>0</v>
      </c>
      <c r="BM289" s="123"/>
      <c r="BN289" s="123">
        <f>(BM289/12*2*$E289*$G289*$H289*$M289*$BN$11)+(BM289/12*10*$F289*$G289*$H289*$M289*$BN$11)</f>
        <v>0</v>
      </c>
      <c r="BO289" s="123"/>
      <c r="BP289" s="123">
        <f>(BO289/12*2*$E289*$G289*$H289*$M289*$BP$11)+(BO289/12*10*$F289*$G289*$H289*$M289*$BP$12)</f>
        <v>0</v>
      </c>
      <c r="BQ289" s="123"/>
      <c r="BR289" s="123">
        <f>(BQ289/12*2*$E289*$G289*$H289*$M289*$BR$11)+(BQ289/12*10*$F289*$G289*$H289*$M289*$BR$11)</f>
        <v>0</v>
      </c>
      <c r="BS289" s="123"/>
      <c r="BT289" s="123">
        <f>(BS289/12*2*$E289*$G289*$H289*$N289*$BT$11)+(BS289/12*10*$F289*$G289*$H289*$N289*$BT$11)</f>
        <v>0</v>
      </c>
      <c r="BU289" s="123"/>
      <c r="BV289" s="126">
        <f>(BU289/12*2*$E289*$G289*$H289*$M289*$BV$11)+(BU289/12*10*$F289*$G289*$H289*$M289*$BV$11)</f>
        <v>0</v>
      </c>
      <c r="BW289" s="123"/>
      <c r="BX289" s="123">
        <f>(BW289/12*2*$E289*$G289*$H289*$M289*$BX$11)+(BW289/12*10*$F289*$G289*$H289*$M289*$BX$11)</f>
        <v>0</v>
      </c>
      <c r="BY289" s="123"/>
      <c r="BZ289" s="123">
        <f>(BY289/12*2*$E289*$G289*$H289*$M289*$BZ$11)+(BY289/12*10*$F289*$G289*$H289*$M289*$BZ$11)</f>
        <v>0</v>
      </c>
      <c r="CA289" s="123"/>
      <c r="CB289" s="123">
        <f>(CA289/12*2*$E289*$G289*$H289*$M289*$CB$11)+(CA289/12*10*$F289*$G289*$H289*$M289*$CB$11)</f>
        <v>0</v>
      </c>
      <c r="CC289" s="123"/>
      <c r="CD289" s="123">
        <f>(CC289/12*2*$E289*$G289*$H289*$M289*$CD$11)+(CC289/12*10*$F289*$G289*$H289*$M289*$CD$11)</f>
        <v>0</v>
      </c>
      <c r="CE289" s="123"/>
      <c r="CF289" s="123">
        <f>(CE289/12*10*$F289*$G289*$H289*$N289*$CF$11)</f>
        <v>0</v>
      </c>
      <c r="CG289" s="132">
        <v>40</v>
      </c>
      <c r="CH289" s="123">
        <f>(CG289/12*2*$E289*$G289*$H289*$N289*$CH$11)+(CG289/12*10*$F289*$G289*$H289*$N289*$CH$11)</f>
        <v>1184722.2928800001</v>
      </c>
      <c r="CI289" s="123"/>
      <c r="CJ289" s="127">
        <f>(CI289*$E289*$G289*$H289*$N289*CJ$11)</f>
        <v>0</v>
      </c>
      <c r="CK289" s="123"/>
      <c r="CL289" s="123">
        <f>(CK289/12*2*$E289*$G289*$H289*$N289*$CL$11)+(CK289/12*10*$F289*$G289*$H289*$N289*$CL$12)</f>
        <v>0</v>
      </c>
      <c r="CM289" s="130"/>
      <c r="CN289" s="123">
        <f>(CM289/12*2*$E289*$G289*$H289*$N289*$CN$11)+(CM289/12*10*$F289*$G289*$H289*$N289*$CN$11)</f>
        <v>0</v>
      </c>
      <c r="CO289" s="123"/>
      <c r="CP289" s="123">
        <f>(CO289/12*2*$E289*$G289*$H289*$N289*$CP$11)+(CO289/12*10*$F289*$G289*$H289*$N289*$CP$11)</f>
        <v>0</v>
      </c>
      <c r="CQ289" s="123"/>
      <c r="CR289" s="123">
        <f>(CQ289/12*2*$E289*$G289*$H289*$O289*$CR$11)+(CQ289/12*10*$F289*$G289*$H289*$O289*$CR$11)</f>
        <v>0</v>
      </c>
      <c r="CS289" s="123"/>
      <c r="CT289" s="133">
        <f>(CS289/12*2*$E289*$G289*$H289*$P289*$CT$11)+(CS289/12*10*$F289*$G289*$H289*$P289*$CT$11)</f>
        <v>0</v>
      </c>
      <c r="CU289" s="127"/>
      <c r="CV289" s="123">
        <f>(CU289*$E289*$G289*$H289*$M289*CV$11)/12*6+(CU289*$E289*$G289*$H289*1*CV$11)/12*6</f>
        <v>0</v>
      </c>
      <c r="CW289" s="126">
        <f t="shared" si="457"/>
        <v>140</v>
      </c>
      <c r="CX289" s="126">
        <f t="shared" si="457"/>
        <v>4201376.2793800002</v>
      </c>
    </row>
    <row r="290" spans="1:102" ht="18.75" x14ac:dyDescent="0.25">
      <c r="A290" s="91"/>
      <c r="B290" s="116">
        <v>227</v>
      </c>
      <c r="C290" s="117" t="s">
        <v>698</v>
      </c>
      <c r="D290" s="161" t="s">
        <v>699</v>
      </c>
      <c r="E290" s="95">
        <v>28004</v>
      </c>
      <c r="F290" s="96">
        <v>29405</v>
      </c>
      <c r="G290" s="119">
        <v>1.07</v>
      </c>
      <c r="H290" s="110">
        <v>0.9</v>
      </c>
      <c r="I290" s="110"/>
      <c r="J290" s="110"/>
      <c r="K290" s="110"/>
      <c r="L290" s="63"/>
      <c r="M290" s="120">
        <v>1.4</v>
      </c>
      <c r="N290" s="120">
        <v>1.68</v>
      </c>
      <c r="O290" s="120">
        <v>2.23</v>
      </c>
      <c r="P290" s="121">
        <v>2.57</v>
      </c>
      <c r="Q290" s="122"/>
      <c r="R290" s="123">
        <f>(Q290/12*2*$E290*$G290*$H290*$M290*$R$11)+(Q290/12*10*$F290*$G290*$H290*$M290*$R$11)</f>
        <v>0</v>
      </c>
      <c r="S290" s="124"/>
      <c r="T290" s="125">
        <f>(S290/12*2*$E290*$G290*$H290*$M290*$R$11)+(S290/12*10*$F290*$G290*$H290*$M290*$R$11)</f>
        <v>0</v>
      </c>
      <c r="U290" s="123"/>
      <c r="V290" s="123">
        <f>(U290/12*2*$E290*$G290*$H290*$M290*$V$11)+(U290/12*10*$F290*$G290*$H290*$M290*$V$12)</f>
        <v>0</v>
      </c>
      <c r="W290" s="123"/>
      <c r="X290" s="126">
        <f>(W290/12*2*$E290*$G290*$H290*$M290*$X$11)+(W290/12*10*$F290*$G290*$H290*$M290*$X$12)</f>
        <v>0</v>
      </c>
      <c r="Y290" s="123"/>
      <c r="Z290" s="123">
        <f>(Y290/12*2*$E290*$G290*$H290*$M290*$Z$11)+(Y290/12*10*$F290*$G290*$H290*$M290*$Z$12)</f>
        <v>0</v>
      </c>
      <c r="AA290" s="123"/>
      <c r="AB290" s="123">
        <f>(AA290/12*2*$E290*$G290*$H290*$M290*$AB$11)+(AA290/12*10*$F290*$G290*$H290*$M290*$AB$11)</f>
        <v>0</v>
      </c>
      <c r="AC290" s="224"/>
      <c r="AD290" s="126">
        <f>(AC290*$E290*$G290*$H290*$M290*$AD$11)</f>
        <v>0</v>
      </c>
      <c r="AE290" s="123"/>
      <c r="AF290" s="127">
        <f>(AE290/12*2*$E290*$G290*$H290*$M290*$AF$11)+(AE290/12*10*$F290*$G290*$H290*$M290*$AF$11)</f>
        <v>0</v>
      </c>
      <c r="AG290" s="123">
        <v>75</v>
      </c>
      <c r="AH290" s="126">
        <f>(AG290/12*2*$E290*$G290*$H290*$M290*$AH$11)+(AG290/12*10*$F290*$G290*$H290*$M290*$AH$11)</f>
        <v>3244643.8447500002</v>
      </c>
      <c r="AI290" s="130"/>
      <c r="AJ290" s="123">
        <f t="shared" si="455"/>
        <v>0</v>
      </c>
      <c r="AK290" s="123"/>
      <c r="AL290" s="123">
        <f t="shared" si="456"/>
        <v>0</v>
      </c>
      <c r="AM290" s="132"/>
      <c r="AN290" s="123">
        <f>(AM290/12*2*$E290*$G290*$H290*$N290*$AN$11)+(AM290/12*10*$F290*$G290*$H290*$N290*$AN$12)</f>
        <v>0</v>
      </c>
      <c r="AO290" s="130"/>
      <c r="AP290" s="127">
        <f>(AO290/12*2*$E290*$G290*$H290*$N290*$AP$11)+(AO290/12*10*$F290*$G290*$H290*$N290*$AP$11)</f>
        <v>0</v>
      </c>
      <c r="AQ290" s="127">
        <v>0</v>
      </c>
      <c r="AR290" s="127">
        <v>0</v>
      </c>
      <c r="AS290" s="123"/>
      <c r="AT290" s="123">
        <f>(AS290/12*2*$E290*$G290*$H290*$M290*$AT$11)+(AS290/12*10*$F290*$G290*$H290*$M290*$AT$11)</f>
        <v>0</v>
      </c>
      <c r="AU290" s="123"/>
      <c r="AV290" s="126">
        <f>(AU290/12*2*$E290*$G290*$H290*$M290*$AV$11)+(AU290/12*10*$F290*$G290*$H290*$M290*$AV$12)</f>
        <v>0</v>
      </c>
      <c r="AW290" s="123"/>
      <c r="AX290" s="123">
        <f>(AW290/12*2*$E290*$G290*$H290*$M290*$AX$11)+(AW290/12*10*$F290*$G290*$H290*$M290*$AX$12)</f>
        <v>0</v>
      </c>
      <c r="AY290" s="123"/>
      <c r="AZ290" s="123">
        <f>(AY290/12*2*$E290*$G290*$H290*$N290*$AZ$11)+(AY290/12*10*$F290*$G290*$H290*$N290*$AZ$11)</f>
        <v>0</v>
      </c>
      <c r="BA290" s="123"/>
      <c r="BB290" s="123">
        <f>(BA290/12*2*$E290*$G290*$H290*$N290*$BB$11)+(BA290/12*10*$F290*$G290*$H290*$N290*$BB$12)</f>
        <v>0</v>
      </c>
      <c r="BC290" s="123"/>
      <c r="BD290" s="126">
        <f>(BC290/12*2*$E290*$G290*$H290*$N290*$BD$11)+(BC290/12*10*$F290*$G290*$H290*$N290*$BD$12)</f>
        <v>0</v>
      </c>
      <c r="BE290" s="123"/>
      <c r="BF290" s="123">
        <f>(BE290/12*10*$F290*$G290*$H290*$N290*$BF$12)</f>
        <v>0</v>
      </c>
      <c r="BG290" s="123"/>
      <c r="BH290" s="123">
        <f>(BG290/12*2*$E290*$G290*$H290*$N290*$BH$11)+(BG290/12*10*$F290*$G290*$H290*$N290*$BH$11)</f>
        <v>0</v>
      </c>
      <c r="BI290" s="123"/>
      <c r="BJ290" s="126">
        <f>(BI290/12*2*$E290*$G290*$H290*$N290*$BJ$11)+(BI290/12*10*$F290*$G290*$H290*$N290*$BJ$11)</f>
        <v>0</v>
      </c>
      <c r="BK290" s="123"/>
      <c r="BL290" s="127">
        <f>(BK290/12*2*$E290*$G290*$H290*$N290*$BL$11)+(BK290/12*10*$F290*$G290*$H290*$N290*$BL$11)</f>
        <v>0</v>
      </c>
      <c r="BM290" s="123"/>
      <c r="BN290" s="123">
        <f>(BM290/12*2*$E290*$G290*$H290*$M290*$BN$11)+(BM290/12*10*$F290*$G290*$H290*$M290*$BN$11)</f>
        <v>0</v>
      </c>
      <c r="BO290" s="123"/>
      <c r="BP290" s="123">
        <f>(BO290/12*2*$E290*$G290*$H290*$M290*$BP$11)+(BO290/12*10*$F290*$G290*$H290*$M290*$BP$12)</f>
        <v>0</v>
      </c>
      <c r="BQ290" s="123"/>
      <c r="BR290" s="123">
        <f>(BQ290/12*2*$E290*$G290*$H290*$M290*$BR$11)+(BQ290/12*10*$F290*$G290*$H290*$M290*$BR$11)</f>
        <v>0</v>
      </c>
      <c r="BS290" s="123"/>
      <c r="BT290" s="123">
        <f>(BS290/12*2*$E290*$G290*$H290*$N290*$BT$11)+(BS290/12*10*$F290*$G290*$H290*$N290*$BT$11)</f>
        <v>0</v>
      </c>
      <c r="BU290" s="123"/>
      <c r="BV290" s="126">
        <f>(BU290/12*2*$E290*$G290*$H290*$M290*$BV$11)+(BU290/12*10*$F290*$G290*$H290*$M290*$BV$11)</f>
        <v>0</v>
      </c>
      <c r="BW290" s="123"/>
      <c r="BX290" s="123">
        <f>(BW290/12*2*$E290*$G290*$H290*$M290*$BX$11)+(BW290/12*10*$F290*$G290*$H290*$M290*$BX$11)</f>
        <v>0</v>
      </c>
      <c r="BY290" s="123"/>
      <c r="BZ290" s="123">
        <f>(BY290/12*2*$E290*$G290*$H290*$M290*$BZ$11)+(BY290/12*10*$F290*$G290*$H290*$M290*$BZ$11)</f>
        <v>0</v>
      </c>
      <c r="CA290" s="123"/>
      <c r="CB290" s="123">
        <f>(CA290/12*2*$E290*$G290*$H290*$M290*$CB$11)+(CA290/12*10*$F290*$G290*$H290*$M290*$CB$11)</f>
        <v>0</v>
      </c>
      <c r="CC290" s="123"/>
      <c r="CD290" s="123">
        <f>(CC290/12*2*$E290*$G290*$H290*$M290*$CD$11)+(CC290/12*10*$F290*$G290*$H290*$M290*$CD$11)</f>
        <v>0</v>
      </c>
      <c r="CE290" s="123"/>
      <c r="CF290" s="123">
        <f>(CE290/12*10*$F290*$G290*$H290*$N290*$CF$11)</f>
        <v>0</v>
      </c>
      <c r="CG290" s="132">
        <v>20</v>
      </c>
      <c r="CH290" s="123">
        <f>(CG290/12*2*$E290*$G290*$H290*$N290*$CH$11)+(CG290/12*10*$F290*$G290*$H290*$N290*$CH$11)</f>
        <v>849506.75208000001</v>
      </c>
      <c r="CI290" s="123"/>
      <c r="CJ290" s="127">
        <f>(CI290*$E290*$G290*$H290*$N290*CJ$11)</f>
        <v>0</v>
      </c>
      <c r="CK290" s="123"/>
      <c r="CL290" s="123">
        <f>(CK290/12*2*$E290*$G290*$H290*$N290*$CL$11)+(CK290/12*10*$F290*$G290*$H290*$N290*$CL$12)</f>
        <v>0</v>
      </c>
      <c r="CM290" s="130"/>
      <c r="CN290" s="123">
        <f>(CM290/12*2*$E290*$G290*$H290*$N290*$CN$11)+(CM290/12*10*$F290*$G290*$H290*$N290*$CN$11)</f>
        <v>0</v>
      </c>
      <c r="CO290" s="123"/>
      <c r="CP290" s="123">
        <f>(CO290/12*2*$E290*$G290*$H290*$N290*$CP$11)+(CO290/12*10*$F290*$G290*$H290*$N290*$CP$11)</f>
        <v>0</v>
      </c>
      <c r="CQ290" s="123"/>
      <c r="CR290" s="123">
        <f>(CQ290/12*2*$E290*$G290*$H290*$O290*$CR$11)+(CQ290/12*10*$F290*$G290*$H290*$O290*$CR$11)</f>
        <v>0</v>
      </c>
      <c r="CS290" s="123"/>
      <c r="CT290" s="133">
        <f>(CS290/12*2*$E290*$G290*$H290*$P290*$CT$11)+(CS290/12*10*$F290*$G290*$H290*$P290*$CT$11)</f>
        <v>0</v>
      </c>
      <c r="CU290" s="127"/>
      <c r="CV290" s="123">
        <f>(CU290*$E290*$G290*$H290*$M290*CV$11)/12*6+(CU290*$E290*$G290*$H290*1*CV$11)/12*6</f>
        <v>0</v>
      </c>
      <c r="CW290" s="126">
        <f t="shared" si="457"/>
        <v>95</v>
      </c>
      <c r="CX290" s="126">
        <f t="shared" si="457"/>
        <v>4094150.5968300002</v>
      </c>
    </row>
    <row r="291" spans="1:102" ht="18.75" x14ac:dyDescent="0.25">
      <c r="A291" s="91"/>
      <c r="B291" s="116">
        <v>228</v>
      </c>
      <c r="C291" s="117" t="s">
        <v>700</v>
      </c>
      <c r="D291" s="161" t="s">
        <v>701</v>
      </c>
      <c r="E291" s="95">
        <v>28004</v>
      </c>
      <c r="F291" s="96">
        <v>29405</v>
      </c>
      <c r="G291" s="119">
        <v>1.19</v>
      </c>
      <c r="H291" s="110">
        <v>0.95</v>
      </c>
      <c r="I291" s="110">
        <v>0.9</v>
      </c>
      <c r="J291" s="110"/>
      <c r="K291" s="110"/>
      <c r="L291" s="63"/>
      <c r="M291" s="120">
        <v>1.4</v>
      </c>
      <c r="N291" s="120">
        <v>1.68</v>
      </c>
      <c r="O291" s="120">
        <v>2.23</v>
      </c>
      <c r="P291" s="121">
        <v>2.57</v>
      </c>
      <c r="Q291" s="122"/>
      <c r="R291" s="123">
        <f>(Q291/12*2*$E291*$G291*$H291*$M291)+(Q291/12*10*$F291*$G291*$I291*$M291)</f>
        <v>0</v>
      </c>
      <c r="S291" s="124"/>
      <c r="T291" s="125">
        <f>(S291/12*2*$E291*$G291*$H291*$M291)+(S291/12*10*$F291*$G291*$I291*$M291)</f>
        <v>0</v>
      </c>
      <c r="U291" s="123"/>
      <c r="V291" s="123">
        <f>(U291/12*2*$E291*$G291*$H291*$M291)+(U291/12*10*$F291*$G291*$I291*$M291)</f>
        <v>0</v>
      </c>
      <c r="W291" s="123"/>
      <c r="X291" s="123">
        <f>(W291/12*2*$E291*$G291*$H291*$M291)+(W291/12*10*$F291*$G291*$I291*$M291)</f>
        <v>0</v>
      </c>
      <c r="Y291" s="123"/>
      <c r="Z291" s="123">
        <f>(Y291/12*2*$E291*$G291*$H291*$M291)+(Y291/12*10*$F291*$G291*$I291*$M291)</f>
        <v>0</v>
      </c>
      <c r="AA291" s="123"/>
      <c r="AB291" s="123">
        <f>(AA291*$E291*$G291*$H291*$M291)/12*2+(AA291*$F291*$G291*$I291*$M291)/12*10</f>
        <v>0</v>
      </c>
      <c r="AC291" s="224"/>
      <c r="AD291" s="123">
        <f>(AC291*$E291*$G291*$H291*$M291)</f>
        <v>0</v>
      </c>
      <c r="AE291" s="123"/>
      <c r="AF291" s="127">
        <f>(AE291/12*2*$E291*$G291*$H291*$M291)+(AE291/12*10*$F291*$G291*$I291*$M291)</f>
        <v>0</v>
      </c>
      <c r="AG291" s="123">
        <v>60</v>
      </c>
      <c r="AH291" s="123">
        <f>(AG291/12*2*$E291*$G291*$H291*$M291)+(AG291/12*10*$F291*$G291*$I291*$M291)</f>
        <v>2647712.1579999998</v>
      </c>
      <c r="AI291" s="130"/>
      <c r="AJ291" s="123">
        <f>(AI291/12*2*$E291*$G291*$H291*$M291)+(AI291/12*10*$F291*$G291*$I291*$M291)</f>
        <v>0</v>
      </c>
      <c r="AK291" s="123"/>
      <c r="AL291" s="126">
        <f>(AK291/12*2*$E291*$G291*$H291*$N291)+(AK291/12*10*$F291*$G291*$I291*$N291)</f>
        <v>0</v>
      </c>
      <c r="AM291" s="132"/>
      <c r="AN291" s="123">
        <f>(AM291/12*2*$E291*$G291*$H291*$N291)+(AM291/12*10*$F291*$G291*$I291*$N291)</f>
        <v>0</v>
      </c>
      <c r="AO291" s="130"/>
      <c r="AP291" s="123">
        <f>(AO291/12*2*$E291*$G291*$H291*$N291)+(AO291/12*10*$F291*$G291*$I291*$N291)</f>
        <v>0</v>
      </c>
      <c r="AQ291" s="123">
        <v>0</v>
      </c>
      <c r="AR291" s="123">
        <v>0</v>
      </c>
      <c r="AS291" s="123"/>
      <c r="AT291" s="123">
        <f>(AS291*$E291*$G291*$H291*$M291)/12*3+(AS291*$F291*$G291*$I291*$M291)/12*9</f>
        <v>0</v>
      </c>
      <c r="AU291" s="123"/>
      <c r="AV291" s="123"/>
      <c r="AW291" s="123"/>
      <c r="AX291" s="123">
        <f>(AW291/12*2*$E291*$G291*$H291*$M291)+(AW291/12*10*$F291*$G291*$I291*$M291)</f>
        <v>0</v>
      </c>
      <c r="AY291" s="123"/>
      <c r="AZ291" s="123">
        <f>(AY291/12*2*$E291*$G291*$H291*$N291)+(AY291/12*10*$F291*$G291*$I291*$N291)</f>
        <v>0</v>
      </c>
      <c r="BA291" s="123"/>
      <c r="BB291" s="123">
        <f>(BA291/12*2*$E291*$G291*$H291*$N291)+(BA291/12*10*$F291*$G291*$I291*$N291)</f>
        <v>0</v>
      </c>
      <c r="BC291" s="123"/>
      <c r="BD291" s="123">
        <f>(BC291/12*2*$E291*$G291*$H291*$N291)+(BC291/12*10*$F291*$G291*$I291*$N291)</f>
        <v>0</v>
      </c>
      <c r="BE291" s="123"/>
      <c r="BF291" s="123">
        <f>(BE291/12*10*$F291*$G291*$I291*$N291)</f>
        <v>0</v>
      </c>
      <c r="BG291" s="123"/>
      <c r="BH291" s="123">
        <f>(BG291/12*2*$E291*$G291*$H291*$N291)+(BG291/12*10*$F291*$G291*$I291*$N291)</f>
        <v>0</v>
      </c>
      <c r="BI291" s="123"/>
      <c r="BJ291" s="123">
        <f>(BI291/12*2*$E291*$G291*$H291*$N291)+(BI291/12*10*$F291*$G291*$I291*$N291)</f>
        <v>0</v>
      </c>
      <c r="BK291" s="123"/>
      <c r="BL291" s="123">
        <f>(BK291/12*2*$E291*$G291*$H291*$N291)+(BK291/12*10*$F291*$G291*$I291*$N291)</f>
        <v>0</v>
      </c>
      <c r="BM291" s="123"/>
      <c r="BN291" s="123"/>
      <c r="BO291" s="123"/>
      <c r="BP291" s="123">
        <f>(BO291/12*2*$E291*$G291*$H291*$M291)+(BO291/12*10*$F291*$G291*$I291*$M291)</f>
        <v>0</v>
      </c>
      <c r="BQ291" s="123"/>
      <c r="BR291" s="123">
        <f>(BQ291/12*2*$E291*$G291*$H291*$M291)+(BQ291/12*10*$F291*$G291*$I291*$M291)</f>
        <v>0</v>
      </c>
      <c r="BS291" s="123"/>
      <c r="BT291" s="123">
        <f>(BS291/12*2*$E291*$G291*$H291*$N291)+(BS291/12*10*$F291*$G291*$I291*$N291)</f>
        <v>0</v>
      </c>
      <c r="BU291" s="123"/>
      <c r="BV291" s="123">
        <f>(BU291/12*2*$E291*$G291*$H291*$M291)+(BU291/12*10*$F291*$G291*$I291*$M291)</f>
        <v>0</v>
      </c>
      <c r="BW291" s="123"/>
      <c r="BX291" s="123">
        <f>(BW291/12*2*$E291*$G291*$H291*$M291)+(BW291/12*10*$F291*$G291*$I291*$M291)</f>
        <v>0</v>
      </c>
      <c r="BY291" s="123"/>
      <c r="BZ291" s="123">
        <f>(BY291/12*2*$E291*$G291*$H291*$M291)+(BY291/12*10*$F291*$G291*$I291*$M291)</f>
        <v>0</v>
      </c>
      <c r="CA291" s="123"/>
      <c r="CB291" s="123">
        <f>(CA291/12*2*$E291*$G291*$H291*$M291)+(CA291/12*10*$F291*$G291*$I291*$M291)</f>
        <v>0</v>
      </c>
      <c r="CC291" s="123"/>
      <c r="CD291" s="123">
        <f>(CC291/12*2*$E291*$G291*$H291*$M291)+(CC291/12*10*$F291*$G291*$I291*$M291)</f>
        <v>0</v>
      </c>
      <c r="CE291" s="123"/>
      <c r="CF291" s="123">
        <f>(CE291/12*10*$F291*$G291*$I291*$N291)</f>
        <v>0</v>
      </c>
      <c r="CG291" s="132">
        <v>80</v>
      </c>
      <c r="CH291" s="123">
        <f>(CG291/12*2*$E291*$G291*$H291*$N291)+(CG291/12*10*$F291*$G291*$I291*$N291)</f>
        <v>4236339.4528000001</v>
      </c>
      <c r="CI291" s="123"/>
      <c r="CJ291" s="127">
        <f>(CI291*$E291*$G291*$H291*$N291)</f>
        <v>0</v>
      </c>
      <c r="CK291" s="123"/>
      <c r="CL291" s="123">
        <f>(CK291/12*2*$E291*$G291*$H291*$N291)+(CK291/12*10*$F291*$G291*$I291*$N291)</f>
        <v>0</v>
      </c>
      <c r="CM291" s="130"/>
      <c r="CN291" s="123">
        <f>(CM291/12*2*$E291*$G291*$H291*$N291)+(CM291/12*10*$F291*$G291*$I291*$N291)</f>
        <v>0</v>
      </c>
      <c r="CO291" s="123"/>
      <c r="CP291" s="123">
        <f>(CO291/12*2*$E291*$G291*$H291*$N291)+(CO291/12*10*$F291*$G291*$I291*$N291)</f>
        <v>0</v>
      </c>
      <c r="CQ291" s="123"/>
      <c r="CR291" s="123">
        <f>(CQ291/12*2*$E291*$G291*$H291*$O291)+(CQ291/12*10*$F291*$G291*$I291*$O291)</f>
        <v>0</v>
      </c>
      <c r="CS291" s="123"/>
      <c r="CT291" s="127">
        <f>(CS291/12*2*$E291*$G291*$H291*$P291)+(CS291/12*10*$F291*$G291*$I291*$P291)</f>
        <v>0</v>
      </c>
      <c r="CU291" s="127"/>
      <c r="CV291" s="127"/>
      <c r="CW291" s="126">
        <f t="shared" si="457"/>
        <v>140</v>
      </c>
      <c r="CX291" s="126">
        <f t="shared" si="457"/>
        <v>6884051.6107999999</v>
      </c>
    </row>
    <row r="292" spans="1:102" ht="18.75" x14ac:dyDescent="0.25">
      <c r="A292" s="277" t="s">
        <v>306</v>
      </c>
      <c r="B292" s="116">
        <v>229</v>
      </c>
      <c r="C292" s="117" t="s">
        <v>702</v>
      </c>
      <c r="D292" s="161" t="s">
        <v>703</v>
      </c>
      <c r="E292" s="95">
        <v>28004</v>
      </c>
      <c r="F292" s="96">
        <v>29405</v>
      </c>
      <c r="G292" s="119">
        <v>2.11</v>
      </c>
      <c r="H292" s="107">
        <v>1</v>
      </c>
      <c r="I292" s="110">
        <v>1</v>
      </c>
      <c r="J292" s="203"/>
      <c r="K292" s="203"/>
      <c r="L292" s="63"/>
      <c r="M292" s="120">
        <v>1.4</v>
      </c>
      <c r="N292" s="120">
        <v>1.68</v>
      </c>
      <c r="O292" s="120">
        <v>2.23</v>
      </c>
      <c r="P292" s="121">
        <v>2.57</v>
      </c>
      <c r="Q292" s="122"/>
      <c r="R292" s="123">
        <f>(Q292/12*2*$E292*$G292*$H292*$M292*$R$11)+(Q292/12*10*$F292*$G292*$I292*$M292*$R$11)</f>
        <v>0</v>
      </c>
      <c r="S292" s="124"/>
      <c r="T292" s="125">
        <f>(S292/12*2*$E292*$G292*$H292*$M292*$R$11)+(S292/12*10*$F292*$G292*$I292*$M292*$R$11)</f>
        <v>0</v>
      </c>
      <c r="U292" s="123"/>
      <c r="V292" s="123">
        <f>(U292/12*2*$E292*$G292*$H292*$M292*$V$11)+(U292/12*10*$F292*$G292*$I292*$M292*$V$12)</f>
        <v>0</v>
      </c>
      <c r="W292" s="123"/>
      <c r="X292" s="126">
        <f>(W292/12*2*$E292*$G292*$H292*$M292*$X$11)+(W292/12*10*$F292*$G292*$I292*$M292*$X$12)</f>
        <v>0</v>
      </c>
      <c r="Y292" s="123"/>
      <c r="Z292" s="123">
        <f>(Y292/12*2*$E292*$G292*$H292*$M292*$Z$11)+(Y292/12*10*$F292*$G292*$I292*$M292*$Z$12)</f>
        <v>0</v>
      </c>
      <c r="AA292" s="123"/>
      <c r="AB292" s="123">
        <f>(AA292/12*2*$E292*$G292*$H292*$M292*$AB$11)+(AA292/12*10*$F292*$G292*$I292*$M292*$AB$11)</f>
        <v>0</v>
      </c>
      <c r="AC292" s="224"/>
      <c r="AD292" s="126">
        <f>(AC292*$E292*$G292*$H292*$M292*$AD$11)</f>
        <v>0</v>
      </c>
      <c r="AE292" s="123"/>
      <c r="AF292" s="127">
        <f>(AE292/12*2*$E292*$G292*$H292*$M292*$AF$11)+(AE292/12*10*$F292*$G292*$I292*$M292*$AF$11)</f>
        <v>0</v>
      </c>
      <c r="AG292" s="123">
        <v>155</v>
      </c>
      <c r="AH292" s="126">
        <f>(AG292/12*2*$E292*$G292*$H292*$M292*$AH$11)+(AG292/12*10*$F292*$G292*$I292*$M292*$AH$11)</f>
        <v>14692430.175499998</v>
      </c>
      <c r="AI292" s="130"/>
      <c r="AJ292" s="123">
        <f>(AI292/12*2*$E292*$G292*$H292*$M292*$AJ$11)+(AI292/12*5*$F292*$G292*$I292*$M292*$AJ$12)+(AI292/12*5*$F292*$G292*$I292*$M292*$AJ$13)</f>
        <v>0</v>
      </c>
      <c r="AK292" s="123"/>
      <c r="AL292" s="123">
        <f>(AK292/12*2*$E292*$G292*$H292*$N292*$AL$11)+(AK292/12*5*$F292*$G292*$I292*$N292*$AL$12)+(AK292/12*5*$F292*$G292*$I292*$N292*$AL$13)</f>
        <v>0</v>
      </c>
      <c r="AM292" s="132"/>
      <c r="AN292" s="123">
        <f>(AM292/12*2*$E292*$G292*$H292*$N292*$AN$11)+(AM292/12*10*$F292*$G292*$I292*$N292*$AN$12)</f>
        <v>0</v>
      </c>
      <c r="AO292" s="130"/>
      <c r="AP292" s="127">
        <f>(AO292/12*2*$E292*$G292*$H292*$N292*$AP$11)+(AO292/12*10*$F292*$G292*$I292*$N292*$AP$11)</f>
        <v>0</v>
      </c>
      <c r="AQ292" s="127">
        <v>0</v>
      </c>
      <c r="AR292" s="127">
        <v>0</v>
      </c>
      <c r="AS292" s="123"/>
      <c r="AT292" s="123"/>
      <c r="AU292" s="123"/>
      <c r="AV292" s="126"/>
      <c r="AW292" s="123"/>
      <c r="AX292" s="123">
        <f>(AW292/12*2*$E292*$G292*$H292*$M292*$AX$11)+(AW292/12*10*$F292*$G292*$I292*$M292*$AX$12)</f>
        <v>0</v>
      </c>
      <c r="AY292" s="123"/>
      <c r="AZ292" s="123">
        <f>(AY292/12*2*$E292*$G292*$H292*$N292*$AZ$11)+(AY292/12*10*$F292*$G292*$I292*$N292*$AZ$11)</f>
        <v>0</v>
      </c>
      <c r="BA292" s="123"/>
      <c r="BB292" s="123">
        <f>(BA292/12*2*$E292*$G292*$H292*$N292*$BB$11)+(BA292/12*10*$F292*$G292*$I292*$N292*$BB$12)</f>
        <v>0</v>
      </c>
      <c r="BC292" s="123"/>
      <c r="BD292" s="126"/>
      <c r="BE292" s="123"/>
      <c r="BF292" s="123">
        <f>(BE292/12*10*$F292*$G292*$I292*$N292*$BF$12)</f>
        <v>0</v>
      </c>
      <c r="BG292" s="123"/>
      <c r="BH292" s="123">
        <f>(BG292/12*2*$E292*$G292*$H292*$N292*$BH$11)+(BG292/12*10*$F292*$G292*$I292*$N292*$BH$11)</f>
        <v>0</v>
      </c>
      <c r="BI292" s="123"/>
      <c r="BJ292" s="126">
        <f>(BI292/12*2*$E292*$G292*$H292*$N292*$BJ$11)+(BI292/12*10*$F292*$G292*$I292*$N292*$BJ$11)</f>
        <v>0</v>
      </c>
      <c r="BK292" s="123"/>
      <c r="BL292" s="127">
        <f>(BK292/12*2*$E292*$G292*$H292*$N292*$BL$11)+(BK292/12*10*$F292*$G292*$I292*$N292*$BL$11)</f>
        <v>0</v>
      </c>
      <c r="BM292" s="123"/>
      <c r="BN292" s="123">
        <f>(BM292/12*2*$E292*$G292*$H292*$M292*$BN$11)+(BM292/12*10*$F292*$G292*$I292*$M292*$BN$11)</f>
        <v>0</v>
      </c>
      <c r="BO292" s="123"/>
      <c r="BP292" s="123">
        <f>(BO292/12*2*$E292*$G292*$H292*$M292*$BP$11)+(BO292/12*10*$F292*$G292*$I292*$M292*$BP$12)</f>
        <v>0</v>
      </c>
      <c r="BQ292" s="123"/>
      <c r="BR292" s="123">
        <f>(BQ292/12*2*$E292*$G292*$H292*$M292*$BR$11)+(BQ292/12*10*$F292*$G292*$I292*$M292*$BR$11)</f>
        <v>0</v>
      </c>
      <c r="BS292" s="123"/>
      <c r="BT292" s="123">
        <f>(BS292/12*2*$E292*$G292*$H292*$N292*$BT$11)+(BS292/12*10*$F292*$G292*$I292*$N292*$BT$11)</f>
        <v>0</v>
      </c>
      <c r="BU292" s="123"/>
      <c r="BV292" s="126">
        <f>(BU292/12*2*$E292*$G292*$H292*$M292*$BV$11)+(BU292/12*10*$F292*$G292*$I292*$M292*$BV$11)</f>
        <v>0</v>
      </c>
      <c r="BW292" s="123"/>
      <c r="BX292" s="123">
        <f>(BW292/12*2*$E292*$G292*$H292*$M292*$BX$11)+(BW292/12*10*$F292*$G292*$I292*$M292*$BX$11)</f>
        <v>0</v>
      </c>
      <c r="BY292" s="123"/>
      <c r="BZ292" s="123">
        <f>(BY292/12*2*$E292*$G292*$H292*$M292*$BZ$11)+(BY292/12*10*$F292*$G292*$I292*$M292*$BZ$11)</f>
        <v>0</v>
      </c>
      <c r="CA292" s="123"/>
      <c r="CB292" s="123">
        <f>(CA292/12*2*$E292*$G292*$H292*$M292*$CB$11)+(CA292/12*10*$F292*$G292*$I292*$M292*$CB$11)</f>
        <v>0</v>
      </c>
      <c r="CC292" s="123"/>
      <c r="CD292" s="123">
        <f>(CC292/12*2*$E292*$G292*$H292*$M292*$CD$11)+(CC292/12*10*$F292*$G292*$I292*$M292*$CD$11)</f>
        <v>0</v>
      </c>
      <c r="CE292" s="123"/>
      <c r="CF292" s="123">
        <f>(CE292/12*10*$F292*$G292*$I292*$N292*$CF$11)</f>
        <v>0</v>
      </c>
      <c r="CG292" s="132"/>
      <c r="CH292" s="123">
        <f>(CG292/12*2*$E292*$G292*$H292*$N292*$CH$11)+(CG292/12*10*$F292*$G292*$I292*$N292*$CH$11)</f>
        <v>0</v>
      </c>
      <c r="CI292" s="123"/>
      <c r="CJ292" s="127"/>
      <c r="CK292" s="123"/>
      <c r="CL292" s="123">
        <f>(CK292/12*2*$E292*$G292*$H292*$N292*$CL$11)+(CK292/12*10*$F292*$G292*$I292*$N292*$CL$12)</f>
        <v>0</v>
      </c>
      <c r="CM292" s="130"/>
      <c r="CN292" s="123">
        <f>(CM292/12*2*$E292*$G292*$H292*$N292*$CN$11)+(CM292/12*10*$F292*$G292*$I292*$N292*$CN$11)</f>
        <v>0</v>
      </c>
      <c r="CO292" s="123"/>
      <c r="CP292" s="123">
        <f>(CO292/12*2*$E292*$G292*$H292*$N292*$CP$11)+(CO292/12*10*$F292*$G292*$I292*$N292*$CP$11)</f>
        <v>0</v>
      </c>
      <c r="CQ292" s="123"/>
      <c r="CR292" s="123">
        <f>(CQ292/12*2*$E292*$G292*$H292*$O292*$CR$11)+(CQ292/12*10*$F292*$G292*$I292*$O292*$CR$11)</f>
        <v>0</v>
      </c>
      <c r="CS292" s="123"/>
      <c r="CT292" s="133">
        <f>(CS292/12*2*$E292*$G292*$H292*$P292*$CT$11)+(CS292/12*10*$F292*$G292*$I292*$P292*$CT$11)</f>
        <v>0</v>
      </c>
      <c r="CU292" s="127"/>
      <c r="CV292" s="123"/>
      <c r="CW292" s="126">
        <f t="shared" si="457"/>
        <v>155</v>
      </c>
      <c r="CX292" s="126">
        <f t="shared" si="457"/>
        <v>14692430.175499998</v>
      </c>
    </row>
    <row r="293" spans="1:102" ht="18.75" x14ac:dyDescent="0.25">
      <c r="A293" s="91"/>
      <c r="B293" s="116">
        <v>230</v>
      </c>
      <c r="C293" s="117" t="s">
        <v>704</v>
      </c>
      <c r="D293" s="161" t="s">
        <v>705</v>
      </c>
      <c r="E293" s="95">
        <v>28004</v>
      </c>
      <c r="F293" s="96">
        <v>29405</v>
      </c>
      <c r="G293" s="119">
        <v>3.29</v>
      </c>
      <c r="H293" s="107">
        <v>1</v>
      </c>
      <c r="I293" s="110"/>
      <c r="J293" s="110"/>
      <c r="K293" s="110"/>
      <c r="L293" s="63"/>
      <c r="M293" s="120">
        <v>1.4</v>
      </c>
      <c r="N293" s="120">
        <v>1.68</v>
      </c>
      <c r="O293" s="120">
        <v>2.23</v>
      </c>
      <c r="P293" s="121">
        <v>2.57</v>
      </c>
      <c r="Q293" s="122"/>
      <c r="R293" s="123">
        <f>(Q293/12*2*$E293*$G293*$H293*$M293)+(Q293/12*10*$F293*$G293*$H293*$M293)</f>
        <v>0</v>
      </c>
      <c r="S293" s="124"/>
      <c r="T293" s="125">
        <f>(S293/12*2*$E293*$G293*$H293*$M293)+(S293/12*10*$F293*$G293*$H293*$M293)</f>
        <v>0</v>
      </c>
      <c r="U293" s="123"/>
      <c r="V293" s="123">
        <f>(U293/12*2*$E293*$G293*$H293*$M293)+(U293/12*10*$F293*$G293*$H293*$M293)</f>
        <v>0</v>
      </c>
      <c r="W293" s="123"/>
      <c r="X293" s="123">
        <f>(W293/12*2*$E293*$G293*$H293*$M293)+(W293/12*10*$F293*$G293*$H293*$M293)</f>
        <v>0</v>
      </c>
      <c r="Y293" s="123"/>
      <c r="Z293" s="123">
        <f>(Y293/12*2*$E293*$G293*$H293*$M293)+(Y293/12*10*$F293*$G293*$H293*$M293)</f>
        <v>0</v>
      </c>
      <c r="AA293" s="123"/>
      <c r="AB293" s="123">
        <f>(AA293/12*2*$E293*$G293*$H293*$M293)+(AA293/12*10*$F293*$G293*$H293*$M293)</f>
        <v>0</v>
      </c>
      <c r="AC293" s="224"/>
      <c r="AD293" s="123">
        <f>(AC293*$E293*$G293*$H293*$M293)</f>
        <v>0</v>
      </c>
      <c r="AE293" s="123"/>
      <c r="AF293" s="127">
        <f>(AE293/12*2*$E293*$G293*$H293*$M293)+(AE293/12*10*$F293*$G293*$H293*$M293)</f>
        <v>0</v>
      </c>
      <c r="AG293" s="123">
        <v>28</v>
      </c>
      <c r="AH293" s="123">
        <f>(AG293/12*2*$E293*$G293*$H293*$M293)+(AG293/12*10*$F293*$G293*$H293*$M293)</f>
        <v>3762190.0120000001</v>
      </c>
      <c r="AI293" s="130"/>
      <c r="AJ293" s="123">
        <f>(AI293/12*2*$E293*$G293*$H293*$M293)+(AI293/12*10*$F293*$G293*$H293*$M293)</f>
        <v>0</v>
      </c>
      <c r="AK293" s="123"/>
      <c r="AL293" s="126">
        <f>(AK293/12*2*$E293*$G293*$H293*$N293)+(AK293/12*10*$F293*$G293*$H293*$N293)</f>
        <v>0</v>
      </c>
      <c r="AM293" s="132"/>
      <c r="AN293" s="123">
        <f>(AM293/12*2*$E293*$G293*$H293*$N293)+(AM293/12*10*$F293*$G293*$H293*$N293)</f>
        <v>0</v>
      </c>
      <c r="AO293" s="130"/>
      <c r="AP293" s="123">
        <f>(AO293/12*2*$E293*$G293*$H293*$N293)+(AO293/12*10*$F293*$G293*$H293*$N293)</f>
        <v>0</v>
      </c>
      <c r="AQ293" s="123">
        <v>0</v>
      </c>
      <c r="AR293" s="123">
        <v>0</v>
      </c>
      <c r="AS293" s="123"/>
      <c r="AT293" s="123"/>
      <c r="AU293" s="123"/>
      <c r="AV293" s="123"/>
      <c r="AW293" s="123"/>
      <c r="AX293" s="123">
        <f>(AW293/12*2*$E293*$G293*$H293*$M293)+(AW293/12*10*$F293*$G293*$H293*$M293)</f>
        <v>0</v>
      </c>
      <c r="AY293" s="123"/>
      <c r="AZ293" s="123">
        <f>(AY293/12*2*$E293*$G293*$H293*$N293)+(AY293/12*10*$F293*$G293*$H293*$N293)</f>
        <v>0</v>
      </c>
      <c r="BA293" s="123"/>
      <c r="BB293" s="123">
        <f>(BA293/12*2*$E293*$G293*$H293*$N293)+(BA293/12*10*$F293*$G293*$H293*$N293)</f>
        <v>0</v>
      </c>
      <c r="BC293" s="123"/>
      <c r="BD293" s="123">
        <f>(BC293/12*2*$E293*$G293*$H293*$N293)+(BC293/12*10*$F293*$G293*$H293*$N293)</f>
        <v>0</v>
      </c>
      <c r="BE293" s="123"/>
      <c r="BF293" s="123">
        <f>(BE293/12*10*$F293*$G293*$H293*$N293)</f>
        <v>0</v>
      </c>
      <c r="BG293" s="123"/>
      <c r="BH293" s="123">
        <f>(BG293/12*2*$E293*$G293*$H293*$N293)+(BG293/12*10*$F293*$G293*$H293*$N293)</f>
        <v>0</v>
      </c>
      <c r="BI293" s="123"/>
      <c r="BJ293" s="123">
        <f>(BI293/12*2*$E293*$G293*$H293*$N293)+(BI293/12*10*$F293*$G293*$H293*$N293)</f>
        <v>0</v>
      </c>
      <c r="BK293" s="123"/>
      <c r="BL293" s="123">
        <f>(BK293/12*2*$E293*$G293*$H293*$N293)+(BK293/12*10*$F293*$G293*$H293*$N293)</f>
        <v>0</v>
      </c>
      <c r="BM293" s="123"/>
      <c r="BN293" s="123">
        <f>(BM293/12*2*$E293*$G293*$H293*$M293)+(BM293/12*10*$F293*$G293*$H293*$M293)</f>
        <v>0</v>
      </c>
      <c r="BO293" s="123"/>
      <c r="BP293" s="123">
        <f>(BO293/12*2*$E293*$G293*$H293*$M293)+(BO293/12*10*$F293*$G293*$H293*$M293)</f>
        <v>0</v>
      </c>
      <c r="BQ293" s="123"/>
      <c r="BR293" s="123">
        <f>(BQ293/12*2*$E293*$G293*$H293*$M293)+(BQ293/12*10*$F293*$G293*$H293*$M293)</f>
        <v>0</v>
      </c>
      <c r="BS293" s="123"/>
      <c r="BT293" s="123">
        <f>(BS293/12*2*$E293*$G293*$H293*$N293)+(BS293/12*10*$F293*$G293*$H293*$N293)</f>
        <v>0</v>
      </c>
      <c r="BU293" s="123"/>
      <c r="BV293" s="123">
        <f>(BU293/12*2*$E293*$G293*$H293*$M293)+(BU293/12*10*$F293*$G293*$H293*$M293)</f>
        <v>0</v>
      </c>
      <c r="BW293" s="123"/>
      <c r="BX293" s="123">
        <f>(BW293/12*2*$E293*$G293*$H293*$M293)+(BW293/12*10*$F293*$G293*$H293*$M293)</f>
        <v>0</v>
      </c>
      <c r="BY293" s="123"/>
      <c r="BZ293" s="123">
        <f>(BY293/12*2*$E293*$G293*$H293*$M293)+(BY293/12*10*$F293*$G293*$H293*$M293)</f>
        <v>0</v>
      </c>
      <c r="CA293" s="123"/>
      <c r="CB293" s="123">
        <f>(CA293/12*2*$E293*$G293*$H293*$M293)+(CA293/12*10*$F293*$G293*$H293*$M293)</f>
        <v>0</v>
      </c>
      <c r="CC293" s="123"/>
      <c r="CD293" s="123">
        <f>(CC293/12*2*$E293*$G293*$H293*$M293)+(CC293/12*10*$F293*$G293*$H293*$M293)</f>
        <v>0</v>
      </c>
      <c r="CE293" s="123"/>
      <c r="CF293" s="123">
        <f>(CE293/12*10*$F293*$G293*$H293*$N293)</f>
        <v>0</v>
      </c>
      <c r="CG293" s="132"/>
      <c r="CH293" s="123">
        <f>(CG293/12*2*$E293*$G293*$H293*$N293)+(CG293/12*10*$F293*$G293*$H293*$N293)</f>
        <v>0</v>
      </c>
      <c r="CI293" s="123"/>
      <c r="CJ293" s="127">
        <f>(CI293*$E293*$G293*$H293*$N293)</f>
        <v>0</v>
      </c>
      <c r="CK293" s="123"/>
      <c r="CL293" s="123">
        <f>(CK293/12*2*$E293*$G293*$H293*$N293)+(CK293/12*10*$F293*$G293*$H293*$N293)</f>
        <v>0</v>
      </c>
      <c r="CM293" s="130"/>
      <c r="CN293" s="123">
        <f>(CM293/12*2*$E293*$G293*$H293*$N293)+(CM293/12*10*$F293*$G293*$H293*$N293)</f>
        <v>0</v>
      </c>
      <c r="CO293" s="123"/>
      <c r="CP293" s="123">
        <f>(CO293/12*2*$E293*$G293*$H293*$N293)+(CO293/12*10*$F293*$G293*$H293*$N293)</f>
        <v>0</v>
      </c>
      <c r="CQ293" s="123"/>
      <c r="CR293" s="123">
        <f>(CQ293/12*2*$E293*$G293*$H293*$O293)+(CQ293/12*10*$F293*$G293*$H293*$O293)</f>
        <v>0</v>
      </c>
      <c r="CS293" s="123"/>
      <c r="CT293" s="127">
        <f>(CS293/12*2*$E293*$G293*$H293*$P293)+(CS293/12*10*$F293*$G293*$H293*$P293)</f>
        <v>0</v>
      </c>
      <c r="CU293" s="127"/>
      <c r="CV293" s="127"/>
      <c r="CW293" s="126">
        <f t="shared" si="457"/>
        <v>28</v>
      </c>
      <c r="CX293" s="126">
        <f t="shared" si="457"/>
        <v>3762190.0120000001</v>
      </c>
    </row>
    <row r="294" spans="1:102" ht="15" customHeight="1" x14ac:dyDescent="0.25">
      <c r="A294" s="91"/>
      <c r="B294" s="116">
        <v>231</v>
      </c>
      <c r="C294" s="117" t="s">
        <v>706</v>
      </c>
      <c r="D294" s="161" t="s">
        <v>707</v>
      </c>
      <c r="E294" s="95">
        <v>28004</v>
      </c>
      <c r="F294" s="96">
        <v>29405</v>
      </c>
      <c r="G294" s="119">
        <v>0.51</v>
      </c>
      <c r="H294" s="107">
        <v>1</v>
      </c>
      <c r="I294" s="108"/>
      <c r="J294" s="108"/>
      <c r="K294" s="108"/>
      <c r="L294" s="63"/>
      <c r="M294" s="120">
        <v>1.4</v>
      </c>
      <c r="N294" s="120">
        <v>1.68</v>
      </c>
      <c r="O294" s="120">
        <v>2.23</v>
      </c>
      <c r="P294" s="121">
        <v>2.57</v>
      </c>
      <c r="Q294" s="122"/>
      <c r="R294" s="123">
        <f>(Q294/12*2*$E294*$G294*$H294*$M294*$R$11)+(Q294/12*10*$F294*$G294*$H294*$M294*$R$11)</f>
        <v>0</v>
      </c>
      <c r="S294" s="124"/>
      <c r="T294" s="125">
        <f>(S294/12*2*$E294*$G294*$H294*$M294*$R$11)+(S294/12*10*$F294*$G294*$H294*$M294*$R$11)</f>
        <v>0</v>
      </c>
      <c r="U294" s="123"/>
      <c r="V294" s="123">
        <f>(U294/12*2*$E294*$G294*$H294*$M294*$V$11)+(U294/12*10*$F294*$G294*$H294*$M294*$V$12)</f>
        <v>0</v>
      </c>
      <c r="W294" s="123"/>
      <c r="X294" s="126">
        <f>(W294/12*2*$E294*$G294*$H294*$M294*$X$11)+(W294/12*10*$F294*$G294*$H294*$M294*$X$12)</f>
        <v>0</v>
      </c>
      <c r="Y294" s="123"/>
      <c r="Z294" s="123">
        <f>(Y294/12*2*$E294*$G294*$H294*$M294*$Z$11)+(Y294/12*10*$F294*$G294*$H294*$M294*$Z$12)</f>
        <v>0</v>
      </c>
      <c r="AA294" s="123"/>
      <c r="AB294" s="123">
        <f>(AA294/12*2*$E294*$G294*$H294*$M294*$AB$11)+(AA294/12*10*$F294*$G294*$H294*$M294*$AB$11)</f>
        <v>0</v>
      </c>
      <c r="AC294" s="224"/>
      <c r="AD294" s="126">
        <f>(AC294*$E294*$G294*$H294*$M294*$AD$11)</f>
        <v>0</v>
      </c>
      <c r="AE294" s="123"/>
      <c r="AF294" s="127">
        <f>(AE294/12*2*$E294*$G294*$H294*$M294*$AF$11)+(AE294/12*10*$F294*$G294*$H294*$M294*$AF$11)</f>
        <v>0</v>
      </c>
      <c r="AG294" s="123">
        <f>1400-20</f>
        <v>1380</v>
      </c>
      <c r="AH294" s="126">
        <f>(AG294/12*2*$E294*$G294*$H294*$M294*$AH$11)+(AG294/12*10*$F294*$G294*$H294*$M294*$AH$11)</f>
        <v>31617588.618000001</v>
      </c>
      <c r="AI294" s="130"/>
      <c r="AJ294" s="123">
        <f t="shared" ref="AJ294:AJ295" si="458">(AI294/12*2*$E294*$G294*$H294*$M294*$AJ$11)+(AI294/12*5*$F294*$G294*$H294*$M294*$AJ$12)+(AI294/12*5*$F294*$G294*$H294*$M294*$AJ$13)</f>
        <v>0</v>
      </c>
      <c r="AK294" s="123"/>
      <c r="AL294" s="123">
        <f t="shared" ref="AL294:AL295" si="459">(AK294/12*2*$E294*$G294*$H294*$N294*$AL$11)+(AK294/12*5*$F294*$G294*$H294*$N294*$AL$12)++(AK294/12*5*$F294*$G294*$H294*$N294*$AL$13)</f>
        <v>0</v>
      </c>
      <c r="AM294" s="132"/>
      <c r="AN294" s="123">
        <f>(AM294/12*2*$E294*$G294*$H294*$N294*$AN$11)+(AM294/12*10*$F294*$G294*$H294*$N294*$AN$12)</f>
        <v>0</v>
      </c>
      <c r="AO294" s="130"/>
      <c r="AP294" s="127">
        <f>(AO294/12*2*$E294*$G294*$H294*$N294*$AP$11)+(AO294/12*10*$F294*$G294*$H294*$N294*$AP$11)</f>
        <v>0</v>
      </c>
      <c r="AQ294" s="127">
        <v>0</v>
      </c>
      <c r="AR294" s="127">
        <v>0</v>
      </c>
      <c r="AS294" s="123"/>
      <c r="AT294" s="123">
        <f>(AS294/12*2*$E294*$G294*$H294*$M294*$AT$11)+(AS294/12*10*$F294*$G294*$H294*$M294*$AT$11)</f>
        <v>0</v>
      </c>
      <c r="AU294" s="123"/>
      <c r="AV294" s="126">
        <f>(AU294/12*2*$E294*$G294*$H294*$M294*$AV$11)+(AU294/12*10*$F294*$G294*$H294*$M294*$AV$12)</f>
        <v>0</v>
      </c>
      <c r="AW294" s="123"/>
      <c r="AX294" s="123">
        <f>(AW294/12*2*$E294*$G294*$H294*$M294*$AX$11)+(AW294/12*10*$F294*$G294*$H294*$M294*$AX$12)</f>
        <v>0</v>
      </c>
      <c r="AY294" s="123"/>
      <c r="AZ294" s="123">
        <f>(AY294/12*2*$E294*$G294*$H294*$N294*$AZ$11)+(AY294/12*10*$F294*$G294*$H294*$N294*$AZ$11)</f>
        <v>0</v>
      </c>
      <c r="BA294" s="123"/>
      <c r="BB294" s="123">
        <f>(BA294/12*2*$E294*$G294*$H294*$N294*$BB$11)+(BA294/12*10*$F294*$G294*$H294*$N294*$BB$12)</f>
        <v>0</v>
      </c>
      <c r="BC294" s="123"/>
      <c r="BD294" s="126">
        <f>(BC294/12*2*$E294*$G294*$H294*$N294*$BD$11)+(BC294/12*10*$F294*$G294*$H294*$N294*$BD$12)</f>
        <v>0</v>
      </c>
      <c r="BE294" s="123"/>
      <c r="BF294" s="123">
        <f>(BE294/12*10*$F294*$G294*$H294*$N294*$BF$12)</f>
        <v>0</v>
      </c>
      <c r="BG294" s="123">
        <v>2</v>
      </c>
      <c r="BH294" s="123">
        <f>(BG294/12*2*$E294*$G294*$H294*$N294*$BH$11)+(BG294/12*10*$F294*$G294*$H294*$N294*$BH$11)</f>
        <v>44989.454159999987</v>
      </c>
      <c r="BI294" s="123">
        <v>5</v>
      </c>
      <c r="BJ294" s="126">
        <f>(BI294/12*2*$E294*$G294*$H294*$N294*$BJ$11)+(BI294/12*10*$F294*$G294*$H294*$N294*$BJ$11)</f>
        <v>149964.84720000002</v>
      </c>
      <c r="BK294" s="123"/>
      <c r="BL294" s="127">
        <f>(BK294/12*2*$E294*$G294*$H294*$N294*$BL$11)+(BK294/12*10*$F294*$G294*$H294*$N294*$BL$11)</f>
        <v>0</v>
      </c>
      <c r="BM294" s="123"/>
      <c r="BN294" s="123">
        <f>(BM294/12*2*$E294*$G294*$H294*$M294*$BN$11)+(BM294/12*10*$F294*$G294*$H294*$M294*$BN$11)</f>
        <v>0</v>
      </c>
      <c r="BO294" s="123"/>
      <c r="BP294" s="123">
        <f>(BO294/12*2*$E294*$G294*$H294*$M294*$BP$11)+(BO294/12*10*$F294*$G294*$H294*$M294*$BP$12)</f>
        <v>0</v>
      </c>
      <c r="BQ294" s="123"/>
      <c r="BR294" s="123">
        <f>(BQ294/12*2*$E294*$G294*$H294*$M294*$BR$11)+(BQ294/12*10*$F294*$G294*$H294*$M294*$BR$11)</f>
        <v>0</v>
      </c>
      <c r="BS294" s="123"/>
      <c r="BT294" s="123">
        <f>(BS294/12*2*$E294*$G294*$H294*$N294*$BT$11)+(BS294/12*10*$F294*$G294*$H294*$N294*$BT$11)</f>
        <v>0</v>
      </c>
      <c r="BU294" s="123"/>
      <c r="BV294" s="126">
        <f>(BU294/12*2*$E294*$G294*$H294*$M294*$BV$11)+(BU294/12*10*$F294*$G294*$H294*$M294*$BV$11)</f>
        <v>0</v>
      </c>
      <c r="BW294" s="123"/>
      <c r="BX294" s="123">
        <f>(BW294/12*2*$E294*$G294*$H294*$M294*$BX$11)+(BW294/12*10*$F294*$G294*$H294*$M294*$BX$11)</f>
        <v>0</v>
      </c>
      <c r="BY294" s="123"/>
      <c r="BZ294" s="123">
        <f>(BY294/12*2*$E294*$G294*$H294*$M294*$BZ$11)+(BY294/12*10*$F294*$G294*$H294*$M294*$BZ$11)</f>
        <v>0</v>
      </c>
      <c r="CA294" s="123"/>
      <c r="CB294" s="123">
        <f>(CA294/12*2*$E294*$G294*$H294*$M294*$CB$11)+(CA294/12*10*$F294*$G294*$H294*$M294*$CB$11)</f>
        <v>0</v>
      </c>
      <c r="CC294" s="123"/>
      <c r="CD294" s="123">
        <f>(CC294/12*2*$E294*$G294*$H294*$M294*$CD$11)+(CC294/12*10*$F294*$G294*$H294*$M294*$CD$11)</f>
        <v>0</v>
      </c>
      <c r="CE294" s="123"/>
      <c r="CF294" s="123">
        <f>(CE294/12*10*$F294*$G294*$H294*$N294*$CF$11)</f>
        <v>0</v>
      </c>
      <c r="CG294" s="132">
        <v>900</v>
      </c>
      <c r="CH294" s="123">
        <f>(CG294/12*2*$E294*$G294*$H294*$N294*$CH$11)+(CG294/12*10*$F294*$G294*$H294*$N294*$CH$11)</f>
        <v>20245254.372000001</v>
      </c>
      <c r="CI294" s="123"/>
      <c r="CJ294" s="127">
        <f>(CI294*$E294*$G294*$H294*$N294*CJ$11)</f>
        <v>0</v>
      </c>
      <c r="CK294" s="123"/>
      <c r="CL294" s="123">
        <f>(CK294/12*2*$E294*$G294*$H294*$N294*$CL$11)+(CK294/12*10*$F294*$G294*$H294*$N294*$CL$12)</f>
        <v>0</v>
      </c>
      <c r="CM294" s="130"/>
      <c r="CN294" s="123">
        <f>(CM294/12*2*$E294*$G294*$H294*$N294*$CN$11)+(CM294/12*10*$F294*$G294*$H294*$N294*$CN$11)</f>
        <v>0</v>
      </c>
      <c r="CO294" s="123"/>
      <c r="CP294" s="123">
        <f>(CO294/12*2*$E294*$G294*$H294*$N294*$CP$11)+(CO294/12*10*$F294*$G294*$H294*$N294*$CP$11)</f>
        <v>0</v>
      </c>
      <c r="CQ294" s="123">
        <v>10</v>
      </c>
      <c r="CR294" s="123">
        <f>(CQ294/12*2*$E294*$G294*$H294*$O294*$CR$11)+(CQ294/12*10*$F294*$G294*$H294*$O294*$CR$11)</f>
        <v>331767.46950000001</v>
      </c>
      <c r="CS294" s="123"/>
      <c r="CT294" s="133">
        <f>(CS294/12*2*$E294*$G294*$H294*$P294*$CT$11)+(CS294/12*10*$F294*$G294*$H294*$P294*$CT$11)</f>
        <v>0</v>
      </c>
      <c r="CU294" s="127"/>
      <c r="CV294" s="123">
        <f>(CU294*$E294*$G294*$H294*$M294*CV$11)/12*6+(CU294*$E294*$G294*$H294*1*CV$11)/12*6</f>
        <v>0</v>
      </c>
      <c r="CW294" s="126">
        <f t="shared" si="457"/>
        <v>2297</v>
      </c>
      <c r="CX294" s="126">
        <f t="shared" si="457"/>
        <v>52389564.760860004</v>
      </c>
    </row>
    <row r="295" spans="1:102" ht="15.75" customHeight="1" x14ac:dyDescent="0.25">
      <c r="A295" s="91"/>
      <c r="B295" s="116">
        <v>232</v>
      </c>
      <c r="C295" s="117" t="s">
        <v>708</v>
      </c>
      <c r="D295" s="161" t="s">
        <v>709</v>
      </c>
      <c r="E295" s="95">
        <v>28004</v>
      </c>
      <c r="F295" s="96">
        <v>29405</v>
      </c>
      <c r="G295" s="119">
        <v>0.66</v>
      </c>
      <c r="H295" s="107">
        <v>1</v>
      </c>
      <c r="I295" s="108"/>
      <c r="J295" s="108"/>
      <c r="K295" s="108"/>
      <c r="L295" s="63"/>
      <c r="M295" s="120">
        <v>1.4</v>
      </c>
      <c r="N295" s="120">
        <v>1.68</v>
      </c>
      <c r="O295" s="120">
        <v>2.23</v>
      </c>
      <c r="P295" s="121">
        <v>2.57</v>
      </c>
      <c r="Q295" s="122"/>
      <c r="R295" s="123">
        <f>(Q295/12*2*$E295*$G295*$H295*$M295*$R$11)+(Q295/12*10*$F295*$G295*$H295*$M295*$R$11)</f>
        <v>0</v>
      </c>
      <c r="S295" s="124"/>
      <c r="T295" s="125">
        <f>(S295/12*2*$E295*$G295*$H295*$M295*$R$11)+(S295/12*10*$F295*$G295*$H295*$M295*$R$11)</f>
        <v>0</v>
      </c>
      <c r="U295" s="123"/>
      <c r="V295" s="123">
        <f>(U295/12*2*$E295*$G295*$H295*$M295*$V$11)+(U295/12*10*$F295*$G295*$H295*$M295*$V$12)</f>
        <v>0</v>
      </c>
      <c r="W295" s="123"/>
      <c r="X295" s="126">
        <f>(W295/12*2*$E295*$G295*$H295*$M295*$X$11)+(W295/12*10*$F295*$G295*$H295*$M295*$X$12)</f>
        <v>0</v>
      </c>
      <c r="Y295" s="123"/>
      <c r="Z295" s="123">
        <f>(Y295/12*2*$E295*$G295*$H295*$M295*$Z$11)+(Y295/12*10*$F295*$G295*$H295*$M295*$Z$12)</f>
        <v>0</v>
      </c>
      <c r="AA295" s="123"/>
      <c r="AB295" s="123">
        <f>(AA295/12*2*$E295*$G295*$H295*$M295*$AB$11)+(AA295/12*10*$F295*$G295*$H295*$M295*$AB$11)</f>
        <v>0</v>
      </c>
      <c r="AC295" s="224"/>
      <c r="AD295" s="126">
        <f>(AC295*$E295*$G295*$H295*$M295*$AD$11)</f>
        <v>0</v>
      </c>
      <c r="AE295" s="123"/>
      <c r="AF295" s="127">
        <f>(AE295/12*2*$E295*$G295*$H295*$M295*$AF$11)+(AE295/12*10*$F295*$G295*$H295*$M295*$AF$11)</f>
        <v>0</v>
      </c>
      <c r="AG295" s="123">
        <v>140</v>
      </c>
      <c r="AH295" s="126">
        <f>(AG295/12*2*$E295*$G295*$H295*$M295*$AH$11)+(AG295/12*10*$F295*$G295*$H295*$M295*$AH$11)</f>
        <v>4150987.7640000004</v>
      </c>
      <c r="AI295" s="130"/>
      <c r="AJ295" s="123">
        <f t="shared" si="458"/>
        <v>0</v>
      </c>
      <c r="AK295" s="123">
        <v>1</v>
      </c>
      <c r="AL295" s="123">
        <f t="shared" si="459"/>
        <v>41777.264760000005</v>
      </c>
      <c r="AM295" s="132"/>
      <c r="AN295" s="123">
        <f>(AM295/12*2*$E295*$G295*$H295*$N295*$AN$11)+(AM295/12*10*$F295*$G295*$H295*$N295*$AN$12)</f>
        <v>0</v>
      </c>
      <c r="AO295" s="130"/>
      <c r="AP295" s="127">
        <f>(AO295/12*2*$E295*$G295*$H295*$N295*$AP$11)+(AO295/12*10*$F295*$G295*$H295*$N295*$AP$11)</f>
        <v>0</v>
      </c>
      <c r="AQ295" s="127">
        <v>0</v>
      </c>
      <c r="AR295" s="127">
        <v>0</v>
      </c>
      <c r="AS295" s="123"/>
      <c r="AT295" s="123">
        <f>(AS295/12*2*$E295*$G295*$H295*$M295*$AT$11)+(AS295/12*10*$F295*$G295*$H295*$M295*$AT$11)</f>
        <v>0</v>
      </c>
      <c r="AU295" s="123"/>
      <c r="AV295" s="126">
        <f>(AU295/12*2*$E295*$G295*$H295*$M295*$AV$11)+(AU295/12*10*$F295*$G295*$H295*$M295*$AV$12)</f>
        <v>0</v>
      </c>
      <c r="AW295" s="123"/>
      <c r="AX295" s="123">
        <f>(AW295/12*2*$E295*$G295*$H295*$M295*$AX$11)+(AW295/12*10*$F295*$G295*$H295*$M295*$AX$12)</f>
        <v>0</v>
      </c>
      <c r="AY295" s="123"/>
      <c r="AZ295" s="123">
        <f>(AY295/12*2*$E295*$G295*$H295*$N295*$AZ$11)+(AY295/12*10*$F295*$G295*$H295*$N295*$AZ$11)</f>
        <v>0</v>
      </c>
      <c r="BA295" s="123"/>
      <c r="BB295" s="123">
        <f>(BA295/12*2*$E295*$G295*$H295*$N295*$BB$11)+(BA295/12*10*$F295*$G295*$H295*$N295*$BB$12)</f>
        <v>0</v>
      </c>
      <c r="BC295" s="123"/>
      <c r="BD295" s="126">
        <f>(BC295/12*2*$E295*$G295*$H295*$N295*$BD$11)+(BC295/12*10*$F295*$G295*$H295*$N295*$BD$12)</f>
        <v>0</v>
      </c>
      <c r="BE295" s="123"/>
      <c r="BF295" s="123">
        <f>(BE295/12*10*$F295*$G295*$H295*$N295*$BF$12)</f>
        <v>0</v>
      </c>
      <c r="BG295" s="123"/>
      <c r="BH295" s="123">
        <f>(BG295/12*2*$E295*$G295*$H295*$N295*$BH$11)+(BG295/12*10*$F295*$G295*$H295*$N295*$BH$11)</f>
        <v>0</v>
      </c>
      <c r="BI295" s="123">
        <v>5</v>
      </c>
      <c r="BJ295" s="126">
        <f>(BI295/12*2*$E295*$G295*$H295*$N295*$BJ$11)+(BI295/12*10*$F295*$G295*$H295*$N295*$BJ$11)</f>
        <v>194072.15520000001</v>
      </c>
      <c r="BK295" s="123"/>
      <c r="BL295" s="127">
        <f>(BK295/12*2*$E295*$G295*$H295*$N295*$BL$11)+(BK295/12*10*$F295*$G295*$H295*$N295*$BL$11)</f>
        <v>0</v>
      </c>
      <c r="BM295" s="123"/>
      <c r="BN295" s="123">
        <f>(BM295/12*2*$E295*$G295*$H295*$M295*$BN$11)+(BM295/12*10*$F295*$G295*$H295*$M295*$BN$11)</f>
        <v>0</v>
      </c>
      <c r="BO295" s="123"/>
      <c r="BP295" s="123">
        <f>(BO295/12*2*$E295*$G295*$H295*$M295*$BP$11)+(BO295/12*10*$F295*$G295*$H295*$M295*$BP$12)</f>
        <v>0</v>
      </c>
      <c r="BQ295" s="123"/>
      <c r="BR295" s="123">
        <f>(BQ295/12*2*$E295*$G295*$H295*$M295*$BR$11)+(BQ295/12*10*$F295*$G295*$H295*$M295*$BR$11)</f>
        <v>0</v>
      </c>
      <c r="BS295" s="123"/>
      <c r="BT295" s="123">
        <f>(BS295/12*2*$E295*$G295*$H295*$N295*$BT$11)+(BS295/12*10*$F295*$G295*$H295*$N295*$BT$11)</f>
        <v>0</v>
      </c>
      <c r="BU295" s="123"/>
      <c r="BV295" s="126">
        <f>(BU295/12*2*$E295*$G295*$H295*$M295*$BV$11)+(BU295/12*10*$F295*$G295*$H295*$M295*$BV$11)</f>
        <v>0</v>
      </c>
      <c r="BW295" s="123"/>
      <c r="BX295" s="123">
        <f>(BW295/12*2*$E295*$G295*$H295*$M295*$BX$11)+(BW295/12*10*$F295*$G295*$H295*$M295*$BX$11)</f>
        <v>0</v>
      </c>
      <c r="BY295" s="123"/>
      <c r="BZ295" s="123">
        <f>(BY295/12*2*$E295*$G295*$H295*$M295*$BZ$11)+(BY295/12*10*$F295*$G295*$H295*$M295*$BZ$11)</f>
        <v>0</v>
      </c>
      <c r="CA295" s="123"/>
      <c r="CB295" s="123">
        <f>(CA295/12*2*$E295*$G295*$H295*$M295*$CB$11)+(CA295/12*10*$F295*$G295*$H295*$M295*$CB$11)</f>
        <v>0</v>
      </c>
      <c r="CC295" s="123"/>
      <c r="CD295" s="123">
        <f>(CC295/12*2*$E295*$G295*$H295*$M295*$CD$11)+(CC295/12*10*$F295*$G295*$H295*$M295*$CD$11)</f>
        <v>0</v>
      </c>
      <c r="CE295" s="123"/>
      <c r="CF295" s="123">
        <f>(CE295/12*10*$F295*$G295*$H295*$N295*$CF$11)</f>
        <v>0</v>
      </c>
      <c r="CG295" s="132">
        <v>60</v>
      </c>
      <c r="CH295" s="123">
        <f>(CG295/12*2*$E295*$G295*$H295*$N295*$CH$11)+(CG295/12*10*$F295*$G295*$H295*$N295*$CH$11)</f>
        <v>1746649.3967999998</v>
      </c>
      <c r="CI295" s="123"/>
      <c r="CJ295" s="127">
        <f>(CI295*$E295*$G295*$H295*$N295*CJ$11)</f>
        <v>0</v>
      </c>
      <c r="CK295" s="123"/>
      <c r="CL295" s="123">
        <f>(CK295/12*2*$E295*$G295*$H295*$N295*$CL$11)+(CK295/12*10*$F295*$G295*$H295*$N295*$CL$12)</f>
        <v>0</v>
      </c>
      <c r="CM295" s="130"/>
      <c r="CN295" s="123">
        <f>(CM295/12*2*$E295*$G295*$H295*$N295*$CN$11)+(CM295/12*10*$F295*$G295*$H295*$N295*$CN$11)</f>
        <v>0</v>
      </c>
      <c r="CO295" s="123"/>
      <c r="CP295" s="123">
        <f>(CO295/12*2*$E295*$G295*$H295*$N295*$CP$11)+(CO295/12*10*$F295*$G295*$H295*$N295*$CP$11)</f>
        <v>0</v>
      </c>
      <c r="CQ295" s="123"/>
      <c r="CR295" s="123">
        <f>(CQ295/12*2*$E295*$G295*$H295*$O295*$CR$11)+(CQ295/12*10*$F295*$G295*$H295*$O295*$CR$11)</f>
        <v>0</v>
      </c>
      <c r="CS295" s="123">
        <v>3</v>
      </c>
      <c r="CT295" s="133">
        <f>(CS295/12*2*$E295*$G295*$H295*$P295*$CT$11)+(CS295/12*10*$F295*$G295*$H295*$P295*$CT$11)</f>
        <v>148442.0949</v>
      </c>
      <c r="CU295" s="127"/>
      <c r="CV295" s="123">
        <f>(CU295*$E295*$G295*$H295*$M295*CV$11)/12*6+(CU295*$E295*$G295*$H295*1*CV$11)/12*6</f>
        <v>0</v>
      </c>
      <c r="CW295" s="126">
        <f t="shared" si="457"/>
        <v>209</v>
      </c>
      <c r="CX295" s="126">
        <f t="shared" si="457"/>
        <v>6281928.6756600002</v>
      </c>
    </row>
    <row r="296" spans="1:102" ht="45" x14ac:dyDescent="0.25">
      <c r="A296" s="283"/>
      <c r="B296" s="116">
        <v>233</v>
      </c>
      <c r="C296" s="201" t="s">
        <v>710</v>
      </c>
      <c r="D296" s="161" t="s">
        <v>711</v>
      </c>
      <c r="E296" s="95">
        <v>28004</v>
      </c>
      <c r="F296" s="96">
        <v>29405</v>
      </c>
      <c r="G296" s="152">
        <v>1.24</v>
      </c>
      <c r="H296" s="110">
        <v>1.3</v>
      </c>
      <c r="I296" s="110">
        <v>1.2</v>
      </c>
      <c r="J296" s="108"/>
      <c r="K296" s="108"/>
      <c r="L296" s="142">
        <v>0.14380000000000001</v>
      </c>
      <c r="M296" s="120">
        <v>1.4</v>
      </c>
      <c r="N296" s="120">
        <v>1.68</v>
      </c>
      <c r="O296" s="120">
        <v>2.23</v>
      </c>
      <c r="P296" s="121">
        <v>2.57</v>
      </c>
      <c r="Q296" s="122"/>
      <c r="R296" s="143"/>
      <c r="S296" s="124"/>
      <c r="T296" s="125"/>
      <c r="U296" s="123"/>
      <c r="V296" s="123"/>
      <c r="W296" s="123"/>
      <c r="X296" s="143"/>
      <c r="Y296" s="123"/>
      <c r="Z296" s="143"/>
      <c r="AA296" s="123"/>
      <c r="AB296" s="143"/>
      <c r="AC296" s="224"/>
      <c r="AD296" s="143">
        <f>(AC296*$E296*$G296*((1-$L296)+$L296*$M296*$H296))</f>
        <v>0</v>
      </c>
      <c r="AE296" s="123"/>
      <c r="AF296" s="158"/>
      <c r="AG296" s="123">
        <v>1000</v>
      </c>
      <c r="AH296" s="143">
        <f>(AG296/12*2*$E296*$G296*((1-$L296)+$L296*$M296*$H296))+(AG296/12*10*$F296*$G296*((1-$L296)+$L296*$M296*$I296))</f>
        <v>39826281.201226659</v>
      </c>
      <c r="AI296" s="130"/>
      <c r="AJ296" s="143"/>
      <c r="AK296" s="123"/>
      <c r="AL296" s="143"/>
      <c r="AM296" s="132"/>
      <c r="AN296" s="143"/>
      <c r="AO296" s="130"/>
      <c r="AP296" s="143"/>
      <c r="AQ296" s="143">
        <v>0</v>
      </c>
      <c r="AR296" s="143">
        <v>0</v>
      </c>
      <c r="AS296" s="123"/>
      <c r="AT296" s="123"/>
      <c r="AU296" s="123"/>
      <c r="AV296" s="123"/>
      <c r="AW296" s="123"/>
      <c r="AX296" s="123"/>
      <c r="AY296" s="123"/>
      <c r="AZ296" s="123"/>
      <c r="BA296" s="123"/>
      <c r="BB296" s="123"/>
      <c r="BC296" s="123"/>
      <c r="BD296" s="123"/>
      <c r="BE296" s="123"/>
      <c r="BF296" s="123">
        <f>(BE296/12*9*$F296*$G296*$I296*$N296)</f>
        <v>0</v>
      </c>
      <c r="BG296" s="123"/>
      <c r="BH296" s="123"/>
      <c r="BI296" s="123"/>
      <c r="BJ296" s="126"/>
      <c r="BK296" s="123"/>
      <c r="BL296" s="127"/>
      <c r="BM296" s="123"/>
      <c r="BN296" s="143"/>
      <c r="BO296" s="123"/>
      <c r="BP296" s="123"/>
      <c r="BQ296" s="123"/>
      <c r="BR296" s="123"/>
      <c r="BS296" s="123"/>
      <c r="BT296" s="123"/>
      <c r="BU296" s="123"/>
      <c r="BV296" s="123"/>
      <c r="BW296" s="123"/>
      <c r="BX296" s="123"/>
      <c r="BY296" s="123"/>
      <c r="BZ296" s="123"/>
      <c r="CA296" s="123"/>
      <c r="CB296" s="123"/>
      <c r="CC296" s="123"/>
      <c r="CD296" s="123"/>
      <c r="CE296" s="123"/>
      <c r="CF296" s="123">
        <f>(CE296/12*9*$F296*$G296*$I296*$N296)</f>
        <v>0</v>
      </c>
      <c r="CG296" s="132"/>
      <c r="CH296" s="123"/>
      <c r="CI296" s="123"/>
      <c r="CJ296" s="127"/>
      <c r="CK296" s="123"/>
      <c r="CL296" s="123"/>
      <c r="CM296" s="130"/>
      <c r="CN296" s="123"/>
      <c r="CO296" s="123"/>
      <c r="CP296" s="123"/>
      <c r="CQ296" s="123"/>
      <c r="CR296" s="123"/>
      <c r="CS296" s="123"/>
      <c r="CT296" s="133"/>
      <c r="CU296" s="127"/>
      <c r="CV296" s="127"/>
      <c r="CW296" s="126">
        <f>SUM(Q296,S296,U296,W296,Y296,AA296,AC296,AE296,AG296,AM296,BQ296,AI296,AU296,CC296,AW296,AY296,AK296,BC296,AO296,AQ296,BE296,CE296,BG296,BI296,BK296,BS296,BM296,BO296,BU296,BW296,BY296,CA296,CG296,BA296,AS296,CI296,CK296,CM296,CO296,CQ296,CS296,CU296)</f>
        <v>1000</v>
      </c>
      <c r="CX296" s="126">
        <f>SUM(R296,T296,V296,X296,Z296,AB296,AD296,AF296,AH296,AN296,BR296,AJ296,AV296,CD296,AX296,AZ296,AL296,BD296,AP296,AR296,BF296,CF296,BH296,BJ296,BL296,BT296,BN296,BP296,BV296,BX296,BZ296,CB296,CH296,BB296,AT296,CJ296,CL296,CN296,CP296,CR296,CT296,CV296)</f>
        <v>39826281.201226659</v>
      </c>
    </row>
    <row r="297" spans="1:102" ht="15.75" customHeight="1" x14ac:dyDescent="0.25">
      <c r="A297" s="109">
        <v>22</v>
      </c>
      <c r="B297" s="150"/>
      <c r="C297" s="93" t="s">
        <v>712</v>
      </c>
      <c r="D297" s="164" t="s">
        <v>713</v>
      </c>
      <c r="E297" s="95">
        <v>28004</v>
      </c>
      <c r="F297" s="96">
        <v>29405</v>
      </c>
      <c r="G297" s="151">
        <v>0.8</v>
      </c>
      <c r="H297" s="112"/>
      <c r="I297" s="120"/>
      <c r="J297" s="120"/>
      <c r="K297" s="120"/>
      <c r="L297" s="111"/>
      <c r="M297" s="112">
        <v>1.4</v>
      </c>
      <c r="N297" s="112">
        <v>1.68</v>
      </c>
      <c r="O297" s="112">
        <v>2.23</v>
      </c>
      <c r="P297" s="113">
        <v>2.57</v>
      </c>
      <c r="Q297" s="103">
        <f>SUM(Q298:Q301)</f>
        <v>0</v>
      </c>
      <c r="R297" s="104">
        <f>SUM(R298:R301)</f>
        <v>0</v>
      </c>
      <c r="S297" s="114">
        <f t="shared" ref="S297:CD297" si="460">SUM(S298:S301)</f>
        <v>0</v>
      </c>
      <c r="T297" s="115">
        <f t="shared" si="460"/>
        <v>0</v>
      </c>
      <c r="U297" s="104">
        <f t="shared" si="460"/>
        <v>318</v>
      </c>
      <c r="V297" s="104">
        <f t="shared" si="460"/>
        <v>19094471.458999999</v>
      </c>
      <c r="W297" s="104">
        <f t="shared" si="460"/>
        <v>0</v>
      </c>
      <c r="X297" s="104">
        <f t="shared" si="460"/>
        <v>0</v>
      </c>
      <c r="Y297" s="104">
        <f t="shared" si="460"/>
        <v>0</v>
      </c>
      <c r="Z297" s="104">
        <f t="shared" si="460"/>
        <v>0</v>
      </c>
      <c r="AA297" s="104">
        <f t="shared" si="460"/>
        <v>0</v>
      </c>
      <c r="AB297" s="104">
        <f t="shared" si="460"/>
        <v>0</v>
      </c>
      <c r="AC297" s="104">
        <f t="shared" si="460"/>
        <v>0</v>
      </c>
      <c r="AD297" s="104">
        <f t="shared" si="460"/>
        <v>0</v>
      </c>
      <c r="AE297" s="104">
        <f t="shared" si="460"/>
        <v>0</v>
      </c>
      <c r="AF297" s="104">
        <f t="shared" si="460"/>
        <v>0</v>
      </c>
      <c r="AG297" s="225">
        <f t="shared" si="460"/>
        <v>0</v>
      </c>
      <c r="AH297" s="225">
        <f t="shared" si="460"/>
        <v>0</v>
      </c>
      <c r="AI297" s="104">
        <f t="shared" si="460"/>
        <v>0</v>
      </c>
      <c r="AJ297" s="104">
        <f t="shared" si="460"/>
        <v>0</v>
      </c>
      <c r="AK297" s="104">
        <f t="shared" si="460"/>
        <v>26</v>
      </c>
      <c r="AL297" s="104">
        <f t="shared" si="460"/>
        <v>641850.70403999998</v>
      </c>
      <c r="AM297" s="104">
        <f t="shared" si="460"/>
        <v>0</v>
      </c>
      <c r="AN297" s="104">
        <f t="shared" si="460"/>
        <v>0</v>
      </c>
      <c r="AO297" s="106">
        <f t="shared" si="460"/>
        <v>4</v>
      </c>
      <c r="AP297" s="104">
        <f t="shared" si="460"/>
        <v>162804.97463999997</v>
      </c>
      <c r="AQ297" s="104">
        <v>1</v>
      </c>
      <c r="AR297" s="104">
        <v>100529.81</v>
      </c>
      <c r="AS297" s="104">
        <f t="shared" si="460"/>
        <v>0</v>
      </c>
      <c r="AT297" s="104">
        <f t="shared" si="460"/>
        <v>0</v>
      </c>
      <c r="AU297" s="104">
        <f t="shared" si="460"/>
        <v>0</v>
      </c>
      <c r="AV297" s="104">
        <f t="shared" si="460"/>
        <v>0</v>
      </c>
      <c r="AW297" s="104">
        <f t="shared" si="460"/>
        <v>5</v>
      </c>
      <c r="AX297" s="104">
        <f t="shared" si="460"/>
        <v>228645.37989999997</v>
      </c>
      <c r="AY297" s="104">
        <f t="shared" si="460"/>
        <v>203</v>
      </c>
      <c r="AZ297" s="104">
        <f t="shared" si="460"/>
        <v>4504091.268600001</v>
      </c>
      <c r="BA297" s="104">
        <f t="shared" si="460"/>
        <v>65</v>
      </c>
      <c r="BB297" s="104">
        <f t="shared" si="460"/>
        <v>1753794.1231999998</v>
      </c>
      <c r="BC297" s="104">
        <f t="shared" si="460"/>
        <v>0</v>
      </c>
      <c r="BD297" s="104">
        <f t="shared" si="460"/>
        <v>0</v>
      </c>
      <c r="BE297" s="104">
        <f t="shared" si="460"/>
        <v>10</v>
      </c>
      <c r="BF297" s="104">
        <f t="shared" si="460"/>
        <v>160551.30000000002</v>
      </c>
      <c r="BG297" s="104">
        <f t="shared" si="460"/>
        <v>18</v>
      </c>
      <c r="BH297" s="104">
        <f t="shared" si="460"/>
        <v>309633.30215999996</v>
      </c>
      <c r="BI297" s="104">
        <f t="shared" si="460"/>
        <v>20</v>
      </c>
      <c r="BJ297" s="104">
        <f t="shared" si="460"/>
        <v>458716.00320000004</v>
      </c>
      <c r="BK297" s="104">
        <f t="shared" si="460"/>
        <v>55</v>
      </c>
      <c r="BL297" s="104">
        <f t="shared" si="460"/>
        <v>1347331.2350400002</v>
      </c>
      <c r="BM297" s="104">
        <f t="shared" si="460"/>
        <v>0</v>
      </c>
      <c r="BN297" s="104">
        <f t="shared" si="460"/>
        <v>0</v>
      </c>
      <c r="BO297" s="104">
        <f t="shared" si="460"/>
        <v>4</v>
      </c>
      <c r="BP297" s="104">
        <f t="shared" si="460"/>
        <v>111891.90599999999</v>
      </c>
      <c r="BQ297" s="104">
        <f t="shared" si="460"/>
        <v>0</v>
      </c>
      <c r="BR297" s="104">
        <f t="shared" si="460"/>
        <v>0</v>
      </c>
      <c r="BS297" s="104">
        <f t="shared" si="460"/>
        <v>10</v>
      </c>
      <c r="BT297" s="104">
        <f t="shared" si="460"/>
        <v>405787.23360000004</v>
      </c>
      <c r="BU297" s="104">
        <f t="shared" si="460"/>
        <v>0</v>
      </c>
      <c r="BV297" s="104">
        <f t="shared" si="460"/>
        <v>0</v>
      </c>
      <c r="BW297" s="104">
        <f t="shared" si="460"/>
        <v>0</v>
      </c>
      <c r="BX297" s="104">
        <f t="shared" si="460"/>
        <v>0</v>
      </c>
      <c r="BY297" s="104">
        <f t="shared" si="460"/>
        <v>18</v>
      </c>
      <c r="BZ297" s="104">
        <f t="shared" si="460"/>
        <v>525203.68599999999</v>
      </c>
      <c r="CA297" s="104">
        <f t="shared" si="460"/>
        <v>47</v>
      </c>
      <c r="CB297" s="104">
        <f t="shared" si="460"/>
        <v>898318.83959999983</v>
      </c>
      <c r="CC297" s="104">
        <f t="shared" si="460"/>
        <v>60</v>
      </c>
      <c r="CD297" s="104">
        <f t="shared" si="460"/>
        <v>955658.34</v>
      </c>
      <c r="CE297" s="104">
        <f t="shared" ref="CE297:CX297" si="461">SUM(CE298:CE301)</f>
        <v>29</v>
      </c>
      <c r="CF297" s="104">
        <f t="shared" si="461"/>
        <v>735654.28999999992</v>
      </c>
      <c r="CG297" s="104">
        <f t="shared" si="461"/>
        <v>0</v>
      </c>
      <c r="CH297" s="104">
        <f t="shared" si="461"/>
        <v>0</v>
      </c>
      <c r="CI297" s="104">
        <f t="shared" si="461"/>
        <v>0</v>
      </c>
      <c r="CJ297" s="104">
        <f t="shared" si="461"/>
        <v>0</v>
      </c>
      <c r="CK297" s="104">
        <f t="shared" si="461"/>
        <v>0</v>
      </c>
      <c r="CL297" s="104">
        <f t="shared" si="461"/>
        <v>0</v>
      </c>
      <c r="CM297" s="104">
        <f t="shared" si="461"/>
        <v>6</v>
      </c>
      <c r="CN297" s="104">
        <f t="shared" si="461"/>
        <v>186230.85599999997</v>
      </c>
      <c r="CO297" s="104">
        <f t="shared" si="461"/>
        <v>10</v>
      </c>
      <c r="CP297" s="104">
        <f t="shared" si="461"/>
        <v>56880.540000000008</v>
      </c>
      <c r="CQ297" s="104">
        <f t="shared" si="461"/>
        <v>20</v>
      </c>
      <c r="CR297" s="104">
        <f t="shared" si="461"/>
        <v>507409.07100000005</v>
      </c>
      <c r="CS297" s="104">
        <f t="shared" si="461"/>
        <v>23</v>
      </c>
      <c r="CT297" s="104">
        <f t="shared" si="461"/>
        <v>1000859.57925</v>
      </c>
      <c r="CU297" s="104">
        <f t="shared" si="461"/>
        <v>0</v>
      </c>
      <c r="CV297" s="104">
        <f t="shared" si="461"/>
        <v>0</v>
      </c>
      <c r="CW297" s="104">
        <f t="shared" si="461"/>
        <v>952</v>
      </c>
      <c r="CX297" s="104">
        <f t="shared" si="461"/>
        <v>34146313.90123</v>
      </c>
    </row>
    <row r="298" spans="1:102" s="6" customFormat="1" ht="15.75" customHeight="1" x14ac:dyDescent="0.25">
      <c r="A298" s="91"/>
      <c r="B298" s="116">
        <v>234</v>
      </c>
      <c r="C298" s="117" t="s">
        <v>714</v>
      </c>
      <c r="D298" s="161" t="s">
        <v>715</v>
      </c>
      <c r="E298" s="95">
        <v>28004</v>
      </c>
      <c r="F298" s="96">
        <v>29405</v>
      </c>
      <c r="G298" s="119">
        <v>1.1100000000000001</v>
      </c>
      <c r="H298" s="107">
        <v>1</v>
      </c>
      <c r="I298" s="108"/>
      <c r="J298" s="108"/>
      <c r="K298" s="108"/>
      <c r="L298" s="63"/>
      <c r="M298" s="120">
        <v>1.4</v>
      </c>
      <c r="N298" s="120">
        <v>1.68</v>
      </c>
      <c r="O298" s="120">
        <v>2.23</v>
      </c>
      <c r="P298" s="121">
        <v>2.57</v>
      </c>
      <c r="Q298" s="122"/>
      <c r="R298" s="123">
        <f>(Q298/12*2*$E298*$G298*$H298*$M298*$R$11)+(Q298/12*10*$F298*$G298*$H298*$M298*$R$11)</f>
        <v>0</v>
      </c>
      <c r="S298" s="124"/>
      <c r="T298" s="125">
        <f>(S298/12*2*$E298*$G298*$H298*$M298*$R$11)+(S298/12*10*$F298*$G298*$H298*$M298*$R$11)</f>
        <v>0</v>
      </c>
      <c r="U298" s="123">
        <v>4</v>
      </c>
      <c r="V298" s="123">
        <f>(U298/12*2*$E298*$G298*$H298*$M298*$V$11)+(U298/12*10*$F298*$G298*$H298*$M298*$V$12)</f>
        <v>243199.80859999999</v>
      </c>
      <c r="W298" s="123"/>
      <c r="X298" s="126">
        <f>(W298/12*2*$E298*$G298*$H298*$M298*$X$11)+(W298/12*10*$F298*$G298*$H298*$M298*$X$12)</f>
        <v>0</v>
      </c>
      <c r="Y298" s="123"/>
      <c r="Z298" s="123">
        <f>(Y298/12*2*$E298*$G298*$H298*$M298*$Z$11)+(Y298/12*10*$F298*$G298*$H298*$M298*$Z$12)</f>
        <v>0</v>
      </c>
      <c r="AA298" s="123"/>
      <c r="AB298" s="123">
        <f>(AA298/12*2*$E298*$G298*$H298*$M298*$AB$11)+(AA298/12*10*$F298*$G298*$H298*$M298*$AB$11)</f>
        <v>0</v>
      </c>
      <c r="AC298" s="123"/>
      <c r="AD298" s="123"/>
      <c r="AE298" s="123"/>
      <c r="AF298" s="123">
        <f>(AE298/12*2*$E298*$G298*$H298*$M298*$AF$11)+(AE298/12*10*$F298*$G298*$H298*$M298*$AF$11)</f>
        <v>0</v>
      </c>
      <c r="AG298" s="123"/>
      <c r="AH298" s="126">
        <f>(AG298/12*2*$E298*$G298*$H298*$M298*$AH$11)+(AG298/12*10*$F298*$G298*$H298*$M298*$AH$11)</f>
        <v>0</v>
      </c>
      <c r="AI298" s="123"/>
      <c r="AJ298" s="123">
        <f t="shared" ref="AJ298:AJ301" si="462">(AI298/12*2*$E298*$G298*$H298*$M298*$AJ$11)+(AI298/12*5*$F298*$G298*$H298*$M298*$AJ$12)+(AI298/12*5*$F298*$G298*$H298*$M298*$AJ$13)</f>
        <v>0</v>
      </c>
      <c r="AK298" s="123"/>
      <c r="AL298" s="123">
        <f t="shared" ref="AL298:AL301" si="463">(AK298/12*2*$E298*$G298*$H298*$N298*$AL$11)+(AK298/12*5*$F298*$G298*$H298*$N298*$AL$12)++(AK298/12*5*$F298*$G298*$H298*$N298*$AL$13)</f>
        <v>0</v>
      </c>
      <c r="AM298" s="132"/>
      <c r="AN298" s="123">
        <f>(AM298/12*2*$E298*$G298*$H298*$N298*$AN$11)+(AM298/12*10*$F298*$G298*$H298*$N298*$AN$12)</f>
        <v>0</v>
      </c>
      <c r="AO298" s="130"/>
      <c r="AP298" s="127">
        <f>(AO298/12*2*$E298*$G298*$H298*$N298*$AP$11)+(AO298/12*10*$F298*$G298*$H298*$N298*$AP$11)</f>
        <v>0</v>
      </c>
      <c r="AQ298" s="127">
        <v>0</v>
      </c>
      <c r="AR298" s="127">
        <v>0</v>
      </c>
      <c r="AS298" s="123"/>
      <c r="AT298" s="123">
        <f>(AS298/12*2*$E298*$G298*$H298*$M298*$AT$11)+(AS298/12*10*$F298*$G298*$H298*$M298*$AT$11)</f>
        <v>0</v>
      </c>
      <c r="AU298" s="123"/>
      <c r="AV298" s="126">
        <f>(AU298/12*2*$E298*$G298*$H298*$M298*$AV$11)+(AU298/12*10*$F298*$G298*$H298*$M298*$AV$12)</f>
        <v>0</v>
      </c>
      <c r="AW298" s="123"/>
      <c r="AX298" s="123">
        <f>(AW298/12*2*$E298*$G298*$H298*$M298*$AX$11)+(AW298/12*10*$F298*$G298*$H298*$M298*$AX$12)</f>
        <v>0</v>
      </c>
      <c r="AY298" s="131"/>
      <c r="AZ298" s="123">
        <f>(AY298/12*2*$E298*$G298*$H298*$N298*$AZ$11)+(AY298/12*10*$F298*$G298*$H298*$N298*$AZ$11)</f>
        <v>0</v>
      </c>
      <c r="BA298" s="123"/>
      <c r="BB298" s="123">
        <f>(BA298/12*2*$E298*$G298*$H298*$N298*$BB$11)+(BA298/12*10*$F298*$G298*$H298*$N298*$BB$12)</f>
        <v>0</v>
      </c>
      <c r="BC298" s="123"/>
      <c r="BD298" s="126">
        <f>(BC298/12*2*$E298*$G298*$H298*$N298*$BD$11)+(BC298/12*10*$F298*$G298*$H298*$N298*$BD$12)</f>
        <v>0</v>
      </c>
      <c r="BE298" s="140"/>
      <c r="BF298" s="123">
        <f>(BE298/12*10*$F298*$G298*$H298*$N298*$BF$12)</f>
        <v>0</v>
      </c>
      <c r="BG298" s="123"/>
      <c r="BH298" s="123">
        <f>(BG298/12*2*$E298*$G298*$H298*$N298*$BH$11)+(BG298/12*10*$F298*$G298*$H298*$N298*$BH$11)</f>
        <v>0</v>
      </c>
      <c r="BI298" s="123"/>
      <c r="BJ298" s="126">
        <f>(BI298/12*2*$E298*$G298*$H298*$N298*$BJ$11)+(BI298/12*10*$F298*$G298*$H298*$N298*$BJ$11)</f>
        <v>0</v>
      </c>
      <c r="BK298" s="123"/>
      <c r="BL298" s="127">
        <f>(BK298/12*2*$E298*$G298*$H298*$N298*$BL$11)+(BK298/12*10*$F298*$G298*$H298*$N298*$BL$11)</f>
        <v>0</v>
      </c>
      <c r="BM298" s="123"/>
      <c r="BN298" s="123">
        <f>(BM298/12*2*$E298*$G298*$H298*$M298*$BN$11)+(BM298/12*10*$F298*$G298*$H298*$M298*$BN$11)</f>
        <v>0</v>
      </c>
      <c r="BO298" s="123"/>
      <c r="BP298" s="123">
        <f>(BO298/12*2*$E298*$G298*$H298*$M298*$BP$11)+(BO298/12*10*$F298*$G298*$H298*$M298*$BP$12)</f>
        <v>0</v>
      </c>
      <c r="BQ298" s="123"/>
      <c r="BR298" s="123">
        <f>(BQ298/12*2*$E298*$G298*$H298*$M298*$BR$11)+(BQ298/12*10*$F298*$G298*$H298*$M298*$BR$11)</f>
        <v>0</v>
      </c>
      <c r="BS298" s="123"/>
      <c r="BT298" s="123">
        <f>(BS298/12*2*$E298*$G298*$H298*$N298*$BT$11)+(BS298/12*10*$F298*$G298*$H298*$N298*$BT$11)</f>
        <v>0</v>
      </c>
      <c r="BU298" s="123"/>
      <c r="BV298" s="126">
        <f>(BU298/12*2*$E298*$G298*$H298*$M298*$BV$11)+(BU298/12*10*$F298*$G298*$H298*$M298*$BV$11)</f>
        <v>0</v>
      </c>
      <c r="BW298" s="123"/>
      <c r="BX298" s="123">
        <f>(BW298/12*2*$E298*$G298*$H298*$M298*$BX$11)+(BW298/12*10*$F298*$G298*$H298*$M298*$BX$11)</f>
        <v>0</v>
      </c>
      <c r="BY298" s="123"/>
      <c r="BZ298" s="123">
        <f>(BY298/12*2*$E298*$G298*$H298*$M298*$BZ$11)+(BY298/12*10*$F298*$G298*$H298*$M298*$BZ$11)</f>
        <v>0</v>
      </c>
      <c r="CA298" s="123"/>
      <c r="CB298" s="123">
        <f>(CA298/12*2*$E298*$G298*$H298*$M298*$CB$11)+(CA298/12*10*$F298*$G298*$H298*$M298*$CB$11)</f>
        <v>0</v>
      </c>
      <c r="CC298" s="123"/>
      <c r="CD298" s="123">
        <f>(CC298/12*2*$E298*$G298*$H298*$M298*$CD$11)+(CC298/12*10*$F298*$G298*$H298*$M298*$CD$11)</f>
        <v>0</v>
      </c>
      <c r="CE298" s="123">
        <v>1</v>
      </c>
      <c r="CF298" s="123">
        <f>(CE298/12*10*$F298*$G298*$H298*$N298*$CF$11)</f>
        <v>45695.369999999995</v>
      </c>
      <c r="CG298" s="132"/>
      <c r="CH298" s="123">
        <f>(CG298/12*2*$E298*$G298*$H298*$N298*$CH$11)+(CG298/12*10*$F298*$G298*$H298*$N298*$CH$11)</f>
        <v>0</v>
      </c>
      <c r="CI298" s="123"/>
      <c r="CJ298" s="127">
        <f>(CI298*$E298*$G298*$H298*$N298*CJ$11)</f>
        <v>0</v>
      </c>
      <c r="CK298" s="123"/>
      <c r="CL298" s="123">
        <f>(CK298/12*2*$E298*$G298*$H298*$N298*$CL$11)+(CK298/12*10*$F298*$G298*$H298*$N298*$CL$12)</f>
        <v>0</v>
      </c>
      <c r="CM298" s="130"/>
      <c r="CN298" s="123">
        <f>(CM298/12*2*$E298*$G298*$H298*$N298*$CN$11)+(CM298/12*10*$F298*$G298*$H298*$N298*$CN$11)</f>
        <v>0</v>
      </c>
      <c r="CO298" s="123"/>
      <c r="CP298" s="123">
        <f>(CO298/12*2*$E298*$G298*$H298*$N298*$CP$11)+(CO298/12*10*$F298*$G298*$H298*$N298*$CP$11)</f>
        <v>0</v>
      </c>
      <c r="CQ298" s="123"/>
      <c r="CR298" s="123">
        <f>(CQ298/12*2*$E298*$G298*$H298*$O298*$CR$11)+(CQ298/12*10*$F298*$G298*$H298*$O298*$CR$11)</f>
        <v>0</v>
      </c>
      <c r="CS298" s="123"/>
      <c r="CT298" s="133">
        <f>(CS298/12*2*$E298*$G298*$H298*$P298*$CT$11)+(CS298/12*10*$F298*$G298*$H298*$P298*$CT$11)</f>
        <v>0</v>
      </c>
      <c r="CU298" s="127"/>
      <c r="CV298" s="123">
        <f>(CU298*$E298*$G298*$H298*$M298*CV$11)/12*6+(CU298*$E298*$G298*$H298*1*CV$11)/12*6</f>
        <v>0</v>
      </c>
      <c r="CW298" s="126">
        <f t="shared" ref="CW298:CX301" si="464">SUM(Q298,S298,U298,W298,Y298,AA298,AC298,AE298,AG298,AM298,BQ298,AI298,AU298,CC298,AW298,AY298,AK298,BC298,AO298,AQ298,BE298,CE298,BG298,BI298,BK298,BS298,BM298,BO298,BU298,BW298,BY298,CA298,CG298,BA298,AS298,CI298,CK298,CM298,CO298,CQ298,CS298,CU298)</f>
        <v>5</v>
      </c>
      <c r="CX298" s="126">
        <f t="shared" si="464"/>
        <v>288895.17859999998</v>
      </c>
    </row>
    <row r="299" spans="1:102" s="6" customFormat="1" ht="30" x14ac:dyDescent="0.25">
      <c r="A299" s="91"/>
      <c r="B299" s="116">
        <v>235</v>
      </c>
      <c r="C299" s="117" t="s">
        <v>716</v>
      </c>
      <c r="D299" s="161" t="s">
        <v>717</v>
      </c>
      <c r="E299" s="95">
        <v>28004</v>
      </c>
      <c r="F299" s="96">
        <v>29405</v>
      </c>
      <c r="G299" s="152">
        <v>0.39</v>
      </c>
      <c r="H299" s="107">
        <v>1</v>
      </c>
      <c r="I299" s="108"/>
      <c r="J299" s="108"/>
      <c r="K299" s="108"/>
      <c r="L299" s="63"/>
      <c r="M299" s="120">
        <v>1.4</v>
      </c>
      <c r="N299" s="120">
        <v>1.68</v>
      </c>
      <c r="O299" s="120">
        <v>2.23</v>
      </c>
      <c r="P299" s="121">
        <v>2.57</v>
      </c>
      <c r="Q299" s="122"/>
      <c r="R299" s="123">
        <f>(Q299/12*2*$E299*$G299*$H299*$M299*$R$11)+(Q299/12*10*$F299*$G299*$H299*$M299*$R$11)</f>
        <v>0</v>
      </c>
      <c r="S299" s="124"/>
      <c r="T299" s="125">
        <f>(S299/12*2*$E299*$G299*$H299*$M299*$R$11)+(S299/12*10*$F299*$G299*$H299*$M299*$R$11)</f>
        <v>0</v>
      </c>
      <c r="U299" s="123">
        <v>164</v>
      </c>
      <c r="V299" s="123">
        <f>(U299/12*2*$E299*$G299*$H299*$M299*$V$11)+(U299/12*10*$F299*$G299*$H299*$M299*$V$12)</f>
        <v>3503391.8374000005</v>
      </c>
      <c r="W299" s="123"/>
      <c r="X299" s="126">
        <f>(W299/12*2*$E299*$G299*$H299*$M299*$X$11)+(W299/12*10*$F299*$G299*$H299*$M299*$X$12)</f>
        <v>0</v>
      </c>
      <c r="Y299" s="123"/>
      <c r="Z299" s="123">
        <f>(Y299/12*2*$E299*$G299*$H299*$M299*$Z$11)+(Y299/12*10*$F299*$G299*$H299*$M299*$Z$12)</f>
        <v>0</v>
      </c>
      <c r="AA299" s="123"/>
      <c r="AB299" s="123">
        <f>(AA299/12*2*$E299*$G299*$H299*$M299*$AB$11)+(AA299/12*10*$F299*$G299*$H299*$M299*$AB$11)</f>
        <v>0</v>
      </c>
      <c r="AC299" s="123"/>
      <c r="AD299" s="123"/>
      <c r="AE299" s="123"/>
      <c r="AF299" s="123">
        <f>(AE299/12*2*$E299*$G299*$H299*$M299*$AF$11)+(AE299/12*10*$F299*$G299*$H299*$M299*$AF$11)</f>
        <v>0</v>
      </c>
      <c r="AG299" s="123"/>
      <c r="AH299" s="126">
        <f>(AG299/12*2*$E299*$G299*$H299*$M299*$AH$11)+(AG299/12*10*$F299*$G299*$H299*$M299*$AH$11)</f>
        <v>0</v>
      </c>
      <c r="AI299" s="123"/>
      <c r="AJ299" s="123">
        <f t="shared" si="462"/>
        <v>0</v>
      </c>
      <c r="AK299" s="123">
        <v>26</v>
      </c>
      <c r="AL299" s="123">
        <f t="shared" si="463"/>
        <v>641850.70403999998</v>
      </c>
      <c r="AM299" s="132"/>
      <c r="AN299" s="123">
        <f>(AM299/12*2*$E299*$G299*$H299*$N299*$AN$11)+(AM299/12*10*$F299*$G299*$H299*$N299*$AN$12)</f>
        <v>0</v>
      </c>
      <c r="AO299" s="130">
        <v>3</v>
      </c>
      <c r="AP299" s="127">
        <f>(AO299/12*2*$E299*$G299*$H299*$N299*$AP$11)+(AO299/12*10*$F299*$G299*$H299*$N299*$AP$11)</f>
        <v>63073.450440000001</v>
      </c>
      <c r="AQ299" s="127">
        <v>0</v>
      </c>
      <c r="AR299" s="127">
        <v>0</v>
      </c>
      <c r="AS299" s="123"/>
      <c r="AT299" s="123">
        <f>(AS299/12*2*$E299*$G299*$H299*$M299*$AT$11)+(AS299/12*10*$F299*$G299*$H299*$M299*$AT$11)</f>
        <v>0</v>
      </c>
      <c r="AU299" s="123"/>
      <c r="AV299" s="126">
        <f>(AU299/12*2*$E299*$G299*$H299*$M299*$AV$11)+(AU299/12*10*$F299*$G299*$H299*$M299*$AV$12)</f>
        <v>0</v>
      </c>
      <c r="AW299" s="123">
        <v>3</v>
      </c>
      <c r="AX299" s="123">
        <f>(AW299/12*2*$E299*$G299*$H299*$M299*$AX$11)+(AW299/12*10*$F299*$G299*$H299*$M299*$AX$12)</f>
        <v>54931.230899999988</v>
      </c>
      <c r="AY299" s="131">
        <v>200</v>
      </c>
      <c r="AZ299" s="123">
        <f>(AY299/12*2*$E299*$G299*$H299*$N299*$AZ$11)+(AY299/12*10*$F299*$G299*$H299*$N299*$AZ$11)</f>
        <v>4204896.6960000014</v>
      </c>
      <c r="BA299" s="123">
        <v>57</v>
      </c>
      <c r="BB299" s="123">
        <f>(BA299/12*2*$E299*$G299*$H299*$N299*$BB$11)+(BA299/12*10*$F299*$G299*$H299*$N299*$BB$12)</f>
        <v>1052844.8111999999</v>
      </c>
      <c r="BC299" s="123"/>
      <c r="BD299" s="126">
        <f>(BC299/12*2*$E299*$G299*$H299*$N299*$BD$11)+(BC299/12*10*$F299*$G299*$H299*$N299*$BD$12)</f>
        <v>0</v>
      </c>
      <c r="BE299" s="140">
        <v>10</v>
      </c>
      <c r="BF299" s="123">
        <f>(BE299/12*10*$F299*$G299*$H299*$N299*$BF$12)</f>
        <v>160551.30000000002</v>
      </c>
      <c r="BG299" s="123">
        <v>18</v>
      </c>
      <c r="BH299" s="123">
        <f>(BG299/12*2*$E299*$G299*$H299*$N299*$BH$11)+(BG299/12*10*$F299*$G299*$H299*$N299*$BH$11)</f>
        <v>309633.30215999996</v>
      </c>
      <c r="BI299" s="123">
        <v>20</v>
      </c>
      <c r="BJ299" s="126">
        <f>(BI299/12*2*$E299*$G299*$H299*$N299*$BJ$11)+(BI299/12*10*$F299*$G299*$H299*$N299*$BJ$11)</f>
        <v>458716.00320000004</v>
      </c>
      <c r="BK299" s="123">
        <v>54</v>
      </c>
      <c r="BL299" s="127">
        <f>(BK299/12*2*$E299*$G299*$H299*$N299*$BL$11)+(BK299/12*10*$F299*$G299*$H299*$N299*$BL$11)</f>
        <v>1238533.2086400001</v>
      </c>
      <c r="BM299" s="123"/>
      <c r="BN299" s="123">
        <f>(BM299/12*2*$E299*$G299*$H299*$M299*$BN$11)+(BM299/12*10*$F299*$G299*$H299*$M299*$BN$11)</f>
        <v>0</v>
      </c>
      <c r="BO299" s="123">
        <v>3</v>
      </c>
      <c r="BP299" s="123">
        <f>(BO299*$F299*$G299*$H299*$M299*$BP$12)</f>
        <v>43348.850999999995</v>
      </c>
      <c r="BQ299" s="123"/>
      <c r="BR299" s="123">
        <f>(BQ299/12*2*$E299*$G299*$H299*$M299*$BR$11)+(BQ299/12*10*$F299*$G299*$H299*$M299*$BR$11)</f>
        <v>0</v>
      </c>
      <c r="BS299" s="123">
        <v>7</v>
      </c>
      <c r="BT299" s="123">
        <f>(BS299/12*2*$E299*$G299*$H299*$N299*$BT$11)+(BS299/12*10*$F299*$G299*$H299*$N299*$BT$11)</f>
        <v>133792.16760000002</v>
      </c>
      <c r="BU299" s="123"/>
      <c r="BV299" s="126">
        <f>(BU299/12*2*$E299*$G299*$H299*$M299*$BV$11)+(BU299/12*10*$F299*$G299*$H299*$M299*$BV$11)</f>
        <v>0</v>
      </c>
      <c r="BW299" s="123"/>
      <c r="BX299" s="123">
        <f>(BW299/12*2*$E299*$G299*$H299*$M299*$BX$11)+(BW299/12*10*$F299*$G299*$H299*$M299*$BX$11)</f>
        <v>0</v>
      </c>
      <c r="BY299" s="123">
        <v>14</v>
      </c>
      <c r="BZ299" s="123">
        <f>(BY299/12*2*$E299*$G299*$H299*$M299*$BZ$11)+(BY299/12*10*$F299*$G299*$H299*$M299*$BZ$11)</f>
        <v>222986.94600000005</v>
      </c>
      <c r="CA299" s="123">
        <v>47</v>
      </c>
      <c r="CB299" s="123">
        <f>(CA299/12*2*$E299*$G299*$H299*$M299*$CB$11)+(CA299/12*10*$F299*$G299*$H299*$M299*$CB$11)</f>
        <v>898318.83959999983</v>
      </c>
      <c r="CC299" s="123">
        <v>60</v>
      </c>
      <c r="CD299" s="123">
        <f>(CC299/12*2*$E299*$G299*$H299*$M299*$CD$11)+(CC299/12*10*$F299*$G299*$H299*$M299*$CD$11)</f>
        <v>955658.34</v>
      </c>
      <c r="CE299" s="123">
        <v>24</v>
      </c>
      <c r="CF299" s="123">
        <f>(CE299/12*10*$F299*$G299*$H299*$N299*$CF$11)</f>
        <v>385323.12</v>
      </c>
      <c r="CG299" s="132"/>
      <c r="CH299" s="123">
        <f>(CG299/12*2*$E299*$G299*$H299*$N299*$CH$11)+(CG299/12*10*$F299*$G299*$H299*$N299*$CH$11)</f>
        <v>0</v>
      </c>
      <c r="CI299" s="123"/>
      <c r="CJ299" s="127">
        <f>(CI299*$E299*$G299*$H299*$N299*CJ$11)</f>
        <v>0</v>
      </c>
      <c r="CK299" s="123"/>
      <c r="CL299" s="123">
        <f>(CK299/12*2*$E299*$G299*$H299*$N299*$CL$11)+(CK299/12*10*$F299*$G299*$H299*$N299*$CL$12)</f>
        <v>0</v>
      </c>
      <c r="CM299" s="130">
        <v>5</v>
      </c>
      <c r="CN299" s="123">
        <f>(CM299/12*2*$E299*$G299*$H299*$N299*$CN$11)+(CM299/12*10*$F299*$G299*$H299*$N299*$CN$11)</f>
        <v>95565.834000000003</v>
      </c>
      <c r="CO299" s="123">
        <v>10</v>
      </c>
      <c r="CP299" s="123">
        <v>56880.540000000008</v>
      </c>
      <c r="CQ299" s="123">
        <v>20</v>
      </c>
      <c r="CR299" s="123">
        <f>(CQ299/12*2*$E299*$G299*$H299*$O299*$CR$11)+(CQ299/12*10*$F299*$G299*$H299*$O299*$CR$11)</f>
        <v>507409.07100000005</v>
      </c>
      <c r="CS299" s="123">
        <v>20</v>
      </c>
      <c r="CT299" s="133">
        <f>(CS299/12*2*$E299*$G299*$H299*$P299*$CT$11)+(CS299/12*10*$F299*$G299*$H299*$P299*$CT$11)</f>
        <v>584771.88899999997</v>
      </c>
      <c r="CU299" s="127"/>
      <c r="CV299" s="123">
        <f>(CU299*$E299*$G299*$H299*$M299*CV$11)/12*6+(CU299*$E299*$G299*$H299*1*CV$11)/12*6</f>
        <v>0</v>
      </c>
      <c r="CW299" s="126">
        <f t="shared" si="464"/>
        <v>765</v>
      </c>
      <c r="CX299" s="126">
        <f t="shared" si="464"/>
        <v>15572478.142180005</v>
      </c>
    </row>
    <row r="300" spans="1:102" ht="30" customHeight="1" x14ac:dyDescent="0.25">
      <c r="A300" s="91"/>
      <c r="B300" s="116">
        <v>236</v>
      </c>
      <c r="C300" s="117" t="s">
        <v>718</v>
      </c>
      <c r="D300" s="161" t="s">
        <v>719</v>
      </c>
      <c r="E300" s="95">
        <v>28004</v>
      </c>
      <c r="F300" s="96">
        <v>29405</v>
      </c>
      <c r="G300" s="119">
        <v>1.85</v>
      </c>
      <c r="H300" s="107">
        <v>1</v>
      </c>
      <c r="I300" s="108"/>
      <c r="J300" s="108"/>
      <c r="K300" s="108"/>
      <c r="L300" s="63"/>
      <c r="M300" s="120">
        <v>1.4</v>
      </c>
      <c r="N300" s="120">
        <v>1.68</v>
      </c>
      <c r="O300" s="120">
        <v>2.23</v>
      </c>
      <c r="P300" s="121">
        <v>2.57</v>
      </c>
      <c r="Q300" s="122"/>
      <c r="R300" s="123">
        <f>(Q300/12*2*$E300*$G300*$H300*$M300*$R$11)+(Q300/12*10*$F300*$G300*$H300*$M300*$R$11)</f>
        <v>0</v>
      </c>
      <c r="S300" s="124"/>
      <c r="T300" s="125">
        <f>(S300/12*2*$E300*$G300*$H300*$M300*$R$11)+(S300/12*10*$F300*$G300*$H300*$M300*$R$11)</f>
        <v>0</v>
      </c>
      <c r="U300" s="123">
        <v>140</v>
      </c>
      <c r="V300" s="123">
        <f>(U300/12*2*$E300*$G300*$H300*$M300*$V$11)+(U300/12*10*$F300*$G300*$H300*$M300*$V$12)</f>
        <v>14186655.501666665</v>
      </c>
      <c r="W300" s="123"/>
      <c r="X300" s="126">
        <f>(W300/12*2*$E300*$G300*$H300*$M300*$X$11)+(W300/12*10*$F300*$G300*$H300*$M300*$X$12)</f>
        <v>0</v>
      </c>
      <c r="Y300" s="123"/>
      <c r="Z300" s="123">
        <f>(Y300/12*2*$E300*$G300*$H300*$M300*$Z$11)+(Y300/12*10*$F300*$G300*$H300*$M300*$Z$12)</f>
        <v>0</v>
      </c>
      <c r="AA300" s="123"/>
      <c r="AB300" s="123">
        <f>(AA300/12*2*$E300*$G300*$H300*$M300*$AB$11)+(AA300/12*10*$F300*$G300*$H300*$M300*$AB$11)</f>
        <v>0</v>
      </c>
      <c r="AC300" s="123"/>
      <c r="AD300" s="123"/>
      <c r="AE300" s="123"/>
      <c r="AF300" s="123">
        <f>(AE300/12*2*$E300*$G300*$H300*$M300*$AF$11)+(AE300/12*10*$F300*$G300*$H300*$M300*$AF$11)</f>
        <v>0</v>
      </c>
      <c r="AG300" s="123"/>
      <c r="AH300" s="126">
        <f>(AG300/12*2*$E300*$G300*$H300*$M300*$AH$11)+(AG300/12*10*$F300*$G300*$H300*$M300*$AH$11)</f>
        <v>0</v>
      </c>
      <c r="AI300" s="123"/>
      <c r="AJ300" s="123">
        <f t="shared" si="462"/>
        <v>0</v>
      </c>
      <c r="AK300" s="123"/>
      <c r="AL300" s="123">
        <f t="shared" si="463"/>
        <v>0</v>
      </c>
      <c r="AM300" s="132"/>
      <c r="AN300" s="123">
        <f>(AM300/12*2*$E300*$G300*$H300*$N300*$AN$11)+(AM300/12*10*$F300*$G300*$H300*$N300*$AN$12)</f>
        <v>0</v>
      </c>
      <c r="AO300" s="130">
        <v>1</v>
      </c>
      <c r="AP300" s="127">
        <f>(AO300/12*2*$E300*$G300*$H300*$N300*$AP$11)+(AO300/12*10*$F300*$G300*$H300*$N300*$AP$11)</f>
        <v>99731.524199999985</v>
      </c>
      <c r="AQ300" s="127">
        <v>1</v>
      </c>
      <c r="AR300" s="127">
        <v>100529.81</v>
      </c>
      <c r="AS300" s="123"/>
      <c r="AT300" s="123">
        <f>(AS300/12*2*$E300*$G300*$H300*$M300*$AT$11)+(AS300/12*10*$F300*$G300*$H300*$M300*$AT$11)</f>
        <v>0</v>
      </c>
      <c r="AU300" s="123"/>
      <c r="AV300" s="126">
        <f>(AU300/12*2*$E300*$G300*$H300*$M300*$AV$11)+(AU300/12*10*$F300*$G300*$H300*$M300*$AV$12)</f>
        <v>0</v>
      </c>
      <c r="AW300" s="123">
        <v>2</v>
      </c>
      <c r="AX300" s="123">
        <f>(AW300/12*2*$E300*$G300*$H300*$M300*$AX$11)+(AW300/12*10*$F300*$G300*$H300*$M300*$AX$12)</f>
        <v>173714.14899999998</v>
      </c>
      <c r="AY300" s="131">
        <v>3</v>
      </c>
      <c r="AZ300" s="123">
        <f>(AY300/12*2*$E300*$G300*$H300*$N300*$AZ$11)+(AY300/12*10*$F300*$G300*$H300*$N300*$AZ$11)</f>
        <v>299194.57260000001</v>
      </c>
      <c r="BA300" s="123">
        <v>8</v>
      </c>
      <c r="BB300" s="123">
        <f>(BA300/12*2*$E300*$G300*$H300*$N300*$BB$11)+(BA300/12*10*$F300*$G300*$H300*$N300*$BB$12)</f>
        <v>700949.3119999998</v>
      </c>
      <c r="BC300" s="123"/>
      <c r="BD300" s="126">
        <f>(BC300/12*2*$E300*$G300*$H300*$N300*$BD$11)+(BC300/12*10*$F300*$G300*$H300*$N300*$BD$12)</f>
        <v>0</v>
      </c>
      <c r="BE300" s="123"/>
      <c r="BF300" s="123">
        <f>(BE300/12*10*$F300*$G300*$H300*$N300*$BF$12)</f>
        <v>0</v>
      </c>
      <c r="BG300" s="123"/>
      <c r="BH300" s="123">
        <f>(BG300/12*2*$E300*$G300*$H300*$N300*$BH$11)+(BG300/12*10*$F300*$G300*$H300*$N300*$BH$11)</f>
        <v>0</v>
      </c>
      <c r="BI300" s="123"/>
      <c r="BJ300" s="126">
        <f>(BI300/12*2*$E300*$G300*$H300*$N300*$BJ$11)+(BI300/12*10*$F300*$G300*$H300*$N300*$BJ$11)</f>
        <v>0</v>
      </c>
      <c r="BK300" s="123">
        <v>1</v>
      </c>
      <c r="BL300" s="127">
        <f>(BK300/12*2*$E300*$G300*$H300*$N300*$BL$11)+(BK300/12*10*$F300*$G300*$H300*$N300*$BL$11)</f>
        <v>108798.02639999997</v>
      </c>
      <c r="BM300" s="123"/>
      <c r="BN300" s="123">
        <f>(BM300/12*2*$E300*$G300*$H300*$M300*$BN$11)+(BM300/12*10*$F300*$G300*$H300*$M300*$BN$11)</f>
        <v>0</v>
      </c>
      <c r="BO300" s="123">
        <v>1</v>
      </c>
      <c r="BP300" s="123">
        <f>(BO300*$F300*$G300*$H300*$M300*$BP$12)</f>
        <v>68543.054999999993</v>
      </c>
      <c r="BQ300" s="123"/>
      <c r="BR300" s="123">
        <f>(BQ300/12*2*$E300*$G300*$H300*$M300*$BR$11)+(BQ300/12*10*$F300*$G300*$H300*$M300*$BR$11)</f>
        <v>0</v>
      </c>
      <c r="BS300" s="123">
        <v>3</v>
      </c>
      <c r="BT300" s="123">
        <f>(BS300/12*2*$E300*$G300*$H300*$N300*$BT$11)+(BS300/12*10*$F300*$G300*$H300*$N300*$BT$11)</f>
        <v>271995.06599999999</v>
      </c>
      <c r="BU300" s="123"/>
      <c r="BV300" s="126">
        <f>(BU300/12*2*$E300*$G300*$H300*$M300*$BV$11)+(BU300/12*10*$F300*$G300*$H300*$M300*$BV$11)</f>
        <v>0</v>
      </c>
      <c r="BW300" s="123"/>
      <c r="BX300" s="123">
        <f>(BW300/12*2*$E300*$G300*$H300*$M300*$BX$11)+(BW300/12*10*$F300*$G300*$H300*$M300*$BX$11)</f>
        <v>0</v>
      </c>
      <c r="BY300" s="123">
        <v>4</v>
      </c>
      <c r="BZ300" s="123">
        <f>(BY300/12*2*$E300*$G300*$H300*$M300*$BZ$11)+(BY300/12*10*$F300*$G300*$H300*$M300*$BZ$11)</f>
        <v>302216.73999999993</v>
      </c>
      <c r="CA300" s="123"/>
      <c r="CB300" s="123">
        <f>(CA300/12*2*$E300*$G300*$H300*$M300*$CB$11)+(CA300/12*10*$F300*$G300*$H300*$M300*$CB$11)</f>
        <v>0</v>
      </c>
      <c r="CC300" s="123"/>
      <c r="CD300" s="123">
        <f>(CC300/12*2*$E300*$G300*$H300*$M300*$CD$11)+(CC300/12*10*$F300*$G300*$H300*$M300*$CD$11)</f>
        <v>0</v>
      </c>
      <c r="CE300" s="123">
        <v>4</v>
      </c>
      <c r="CF300" s="123">
        <f>(CE300/12*10*$F300*$G300*$H300*$N300*$CF$11)</f>
        <v>304635.79999999993</v>
      </c>
      <c r="CG300" s="132"/>
      <c r="CH300" s="123">
        <f>(CG300/12*2*$E300*$G300*$H300*$N300*$CH$11)+(CG300/12*10*$F300*$G300*$H300*$N300*$CH$11)</f>
        <v>0</v>
      </c>
      <c r="CI300" s="123"/>
      <c r="CJ300" s="127">
        <f>(CI300*$E300*$G300*$H300*$N300*CJ$11)</f>
        <v>0</v>
      </c>
      <c r="CK300" s="123"/>
      <c r="CL300" s="123">
        <f>(CK300/12*2*$E300*$G300*$H300*$N300*$CL$11)+(CK300/12*10*$F300*$G300*$H300*$N300*$CL$12)</f>
        <v>0</v>
      </c>
      <c r="CM300" s="130">
        <v>1</v>
      </c>
      <c r="CN300" s="123">
        <f>(CM300/12*2*$E300*$G300*$H300*$N300*$CN$11)+(CM300/12*10*$F300*$G300*$H300*$N300*$CN$11)</f>
        <v>90665.021999999983</v>
      </c>
      <c r="CO300" s="123"/>
      <c r="CP300" s="123">
        <f>(CO300/12*2*$E300*$G300*$H300*$N300*$CP$11)+(CO300/12*10*$F300*$G300*$H300*$N300*$CP$11)</f>
        <v>0</v>
      </c>
      <c r="CQ300" s="123"/>
      <c r="CR300" s="123">
        <f>(CQ300/12*2*$E300*$G300*$H300*$O300*$CR$11)+(CQ300/12*10*$F300*$G300*$H300*$O300*$CR$11)</f>
        <v>0</v>
      </c>
      <c r="CS300" s="123">
        <v>3</v>
      </c>
      <c r="CT300" s="133">
        <f>(CS300/12*2*$E300*$G300*$H300*$P300*$CT$11)+(CS300/12*10*$F300*$G300*$H300*$P300*$CT$11)</f>
        <v>416087.69024999999</v>
      </c>
      <c r="CU300" s="127"/>
      <c r="CV300" s="123">
        <f>(CU300*$E300*$G300*$H300*$M300*CV$11)/12*6+(CU300*$E300*$G300*$H300*1*CV$11)/12*6</f>
        <v>0</v>
      </c>
      <c r="CW300" s="126">
        <f t="shared" si="464"/>
        <v>172</v>
      </c>
      <c r="CX300" s="126">
        <f t="shared" si="464"/>
        <v>17123716.269116662</v>
      </c>
    </row>
    <row r="301" spans="1:102" ht="30" customHeight="1" x14ac:dyDescent="0.25">
      <c r="A301" s="91"/>
      <c r="B301" s="116">
        <v>237</v>
      </c>
      <c r="C301" s="117" t="s">
        <v>720</v>
      </c>
      <c r="D301" s="161" t="s">
        <v>721</v>
      </c>
      <c r="E301" s="95">
        <v>28004</v>
      </c>
      <c r="F301" s="96">
        <v>29405</v>
      </c>
      <c r="G301" s="152">
        <v>2.12</v>
      </c>
      <c r="H301" s="107">
        <v>1</v>
      </c>
      <c r="I301" s="108"/>
      <c r="J301" s="108"/>
      <c r="K301" s="108"/>
      <c r="L301" s="63"/>
      <c r="M301" s="120">
        <v>1.4</v>
      </c>
      <c r="N301" s="120">
        <v>1.68</v>
      </c>
      <c r="O301" s="120">
        <v>2.23</v>
      </c>
      <c r="P301" s="121">
        <v>2.57</v>
      </c>
      <c r="Q301" s="122"/>
      <c r="R301" s="123">
        <f>(Q301/12*2*$E301*$G301*$H301*$M301*$R$11)+(Q301/12*10*$F301*$G301*$H301*$M301*$R$11)</f>
        <v>0</v>
      </c>
      <c r="S301" s="124"/>
      <c r="T301" s="125">
        <f>(S301/12*2*$E301*$G301*$H301*$M301*$R$11)+(S301/12*10*$F301*$G301*$H301*$M301*$R$11)</f>
        <v>0</v>
      </c>
      <c r="U301" s="123">
        <v>10</v>
      </c>
      <c r="V301" s="123">
        <f>(U301/12*2*$E301*$G301*$H301*$M301*$V$11)+(U301/12*10*$F301*$G301*$H301*$M301*$V$12)</f>
        <v>1161224.3113333334</v>
      </c>
      <c r="W301" s="123"/>
      <c r="X301" s="126">
        <f>(W301/12*2*$E301*$G301*$H301*$M301*$X$11)+(W301/12*10*$F301*$G301*$H301*$M301*$X$12)</f>
        <v>0</v>
      </c>
      <c r="Y301" s="123"/>
      <c r="Z301" s="123">
        <f>(Y301/12*2*$E301*$G301*$H301*$M301*$Z$11)+(Y301/12*10*$F301*$G301*$H301*$M301*$Z$12)</f>
        <v>0</v>
      </c>
      <c r="AA301" s="123"/>
      <c r="AB301" s="123">
        <f>(AA301/12*2*$E301*$G301*$H301*$M301*$AB$11)+(AA301/12*10*$F301*$G301*$H301*$M301*$AB$11)</f>
        <v>0</v>
      </c>
      <c r="AC301" s="123"/>
      <c r="AD301" s="123"/>
      <c r="AE301" s="123"/>
      <c r="AF301" s="123">
        <f>(AE301/12*2*$E301*$G301*$H301*$M301*$AF$11)+(AE301/12*10*$F301*$G301*$H301*$M301*$AF$11)</f>
        <v>0</v>
      </c>
      <c r="AG301" s="123"/>
      <c r="AH301" s="126">
        <f>(AG301/12*2*$E301*$G301*$H301*$M301*$AH$11)+(AG301/12*10*$F301*$G301*$H301*$M301*$AH$11)</f>
        <v>0</v>
      </c>
      <c r="AI301" s="123"/>
      <c r="AJ301" s="123">
        <f t="shared" si="462"/>
        <v>0</v>
      </c>
      <c r="AK301" s="123"/>
      <c r="AL301" s="123">
        <f t="shared" si="463"/>
        <v>0</v>
      </c>
      <c r="AM301" s="132"/>
      <c r="AN301" s="123">
        <f>(AM301/12*2*$E301*$G301*$H301*$N301*$AN$11)+(AM301/12*10*$F301*$G301*$H301*$N301*$AN$12)</f>
        <v>0</v>
      </c>
      <c r="AO301" s="130"/>
      <c r="AP301" s="127">
        <f>(AO301/12*2*$E301*$G301*$H301*$N301*$AP$11)+(AO301/12*10*$F301*$G301*$H301*$N301*$AP$11)</f>
        <v>0</v>
      </c>
      <c r="AQ301" s="127">
        <v>0</v>
      </c>
      <c r="AR301" s="127">
        <v>0</v>
      </c>
      <c r="AS301" s="123"/>
      <c r="AT301" s="123">
        <f>(AS301/12*2*$E301*$G301*$H301*$M301*$AT$11)+(AS301/12*10*$F301*$G301*$H301*$M301*$AT$11)</f>
        <v>0</v>
      </c>
      <c r="AU301" s="123"/>
      <c r="AV301" s="126">
        <f>(AU301/12*2*$E301*$G301*$H301*$M301*$AV$11)+(AU301/12*10*$F301*$G301*$H301*$M301*$AV$12)</f>
        <v>0</v>
      </c>
      <c r="AW301" s="123"/>
      <c r="AX301" s="123">
        <f>(AW301/12*2*$E301*$G301*$H301*$M301*$AX$11)+(AW301/12*10*$F301*$G301*$H301*$M301*$AX$12)</f>
        <v>0</v>
      </c>
      <c r="AY301" s="131">
        <v>0</v>
      </c>
      <c r="AZ301" s="123">
        <f>(AY301/12*2*$E301*$G301*$H301*$N301*$AZ$11)+(AY301/12*10*$F301*$G301*$H301*$N301*$AZ$11)</f>
        <v>0</v>
      </c>
      <c r="BA301" s="123"/>
      <c r="BB301" s="123">
        <f>(BA301/12*2*$E301*$G301*$H301*$N301*$BB$11)+(BA301/12*10*$F301*$G301*$H301*$N301*$BB$12)</f>
        <v>0</v>
      </c>
      <c r="BC301" s="123"/>
      <c r="BD301" s="126">
        <f>(BC301/12*2*$E301*$G301*$H301*$N301*$BD$11)+(BC301/12*10*$F301*$G301*$H301*$N301*$BD$12)</f>
        <v>0</v>
      </c>
      <c r="BE301" s="123"/>
      <c r="BF301" s="123">
        <f>(BE301/12*10*$F301*$G301*$H301*$N301*$BF$12)</f>
        <v>0</v>
      </c>
      <c r="BG301" s="123"/>
      <c r="BH301" s="123">
        <f>(BG301/12*2*$E301*$G301*$H301*$N301*$BH$11)+(BG301/12*10*$F301*$G301*$H301*$N301*$BH$11)</f>
        <v>0</v>
      </c>
      <c r="BI301" s="123"/>
      <c r="BJ301" s="126">
        <f>(BI301/12*2*$E301*$G301*$H301*$N301*$BJ$11)+(BI301/12*10*$F301*$G301*$H301*$N301*$BJ$11)</f>
        <v>0</v>
      </c>
      <c r="BK301" s="123"/>
      <c r="BL301" s="127">
        <f>(BK301/12*2*$E301*$G301*$H301*$N301*$BL$11)+(BK301/12*10*$F301*$G301*$H301*$N301*$BL$11)</f>
        <v>0</v>
      </c>
      <c r="BM301" s="123"/>
      <c r="BN301" s="123">
        <f>(BM301/12*2*$E301*$G301*$H301*$M301*$BN$11)+(BM301/12*10*$F301*$G301*$H301*$M301*$BN$11)</f>
        <v>0</v>
      </c>
      <c r="BO301" s="123"/>
      <c r="BP301" s="123">
        <f>(BO301/12*2*$E301*$G301*$H301*$M301*$BP$11)+(BO301/12*10*$F301*$G301*$H301*$M301*$BP$12)</f>
        <v>0</v>
      </c>
      <c r="BQ301" s="123"/>
      <c r="BR301" s="123">
        <f>(BQ301/12*2*$E301*$G301*$H301*$M301*$BR$11)+(BQ301/12*10*$F301*$G301*$H301*$M301*$BR$11)</f>
        <v>0</v>
      </c>
      <c r="BS301" s="123"/>
      <c r="BT301" s="123">
        <f>(BS301/12*2*$E301*$G301*$H301*$N301*$BT$11)+(BS301/12*10*$F301*$G301*$H301*$N301*$BT$11)</f>
        <v>0</v>
      </c>
      <c r="BU301" s="123"/>
      <c r="BV301" s="126">
        <f>(BU301/12*2*$E301*$G301*$H301*$M301*$BV$11)+(BU301/12*10*$F301*$G301*$H301*$M301*$BV$11)</f>
        <v>0</v>
      </c>
      <c r="BW301" s="123"/>
      <c r="BX301" s="123">
        <f>(BW301/12*2*$E301*$G301*$H301*$M301*$BX$11)+(BW301/12*10*$F301*$G301*$H301*$M301*$BX$11)</f>
        <v>0</v>
      </c>
      <c r="BY301" s="123"/>
      <c r="BZ301" s="123">
        <f>(BY301/12*2*$E301*$G301*$H301*$M301*$BZ$11)+(BY301/12*10*$F301*$G301*$H301*$M301*$BZ$11)</f>
        <v>0</v>
      </c>
      <c r="CA301" s="123"/>
      <c r="CB301" s="123">
        <f>(CA301/12*2*$E301*$G301*$H301*$M301*$CB$11)+(CA301/12*10*$F301*$G301*$H301*$M301*$CB$11)</f>
        <v>0</v>
      </c>
      <c r="CC301" s="123"/>
      <c r="CD301" s="123">
        <f>(CC301/12*2*$E301*$G301*$H301*$M301*$CD$11)+(CC301/12*10*$F301*$G301*$H301*$M301*$CD$11)</f>
        <v>0</v>
      </c>
      <c r="CE301" s="123"/>
      <c r="CF301" s="123">
        <f>(CE301/12*10*$F301*$G301*$H301*$N301*$CF$11)</f>
        <v>0</v>
      </c>
      <c r="CG301" s="132"/>
      <c r="CH301" s="123">
        <f>(CG301/12*2*$E301*$G301*$H301*$N301*$CH$11)+(CG301/12*10*$F301*$G301*$H301*$N301*$CH$11)</f>
        <v>0</v>
      </c>
      <c r="CI301" s="123"/>
      <c r="CJ301" s="127">
        <f>(CI301*$E301*$G301*$H301*$N301*CJ$11)</f>
        <v>0</v>
      </c>
      <c r="CK301" s="123"/>
      <c r="CL301" s="123">
        <f>(CK301/12*2*$E301*$G301*$H301*$N301*$CL$11)+(CK301/12*10*$F301*$G301*$H301*$N301*$CL$12)</f>
        <v>0</v>
      </c>
      <c r="CM301" s="130"/>
      <c r="CN301" s="123">
        <f>(CM301/12*2*$E301*$G301*$H301*$N301*$CN$11)+(CM301/12*10*$F301*$G301*$H301*$N301*$CN$11)</f>
        <v>0</v>
      </c>
      <c r="CO301" s="123"/>
      <c r="CP301" s="123">
        <f>(CO301/12*2*$E301*$G301*$H301*$N301*$CP$11)+(CO301/12*10*$F301*$G301*$H301*$N301*$CP$11)</f>
        <v>0</v>
      </c>
      <c r="CQ301" s="123"/>
      <c r="CR301" s="123">
        <f>(CQ301/12*2*$E301*$G301*$H301*$O301*$CR$11)+(CQ301/12*10*$F301*$G301*$H301*$O301*$CR$11)</f>
        <v>0</v>
      </c>
      <c r="CS301" s="123"/>
      <c r="CT301" s="133">
        <f>(CS301/12*2*$E301*$G301*$H301*$P301*$CT$11)+(CS301/12*10*$F301*$G301*$H301*$P301*$CT$11)</f>
        <v>0</v>
      </c>
      <c r="CU301" s="127"/>
      <c r="CV301" s="123">
        <f>(CU301*$E301*$G301*$H301*$M301*CV$11)/12*6+(CU301*$E301*$G301*$H301*1*CV$11)/12*6</f>
        <v>0</v>
      </c>
      <c r="CW301" s="126">
        <f t="shared" si="464"/>
        <v>10</v>
      </c>
      <c r="CX301" s="126">
        <f t="shared" si="464"/>
        <v>1161224.3113333334</v>
      </c>
    </row>
    <row r="302" spans="1:102" ht="15.75" customHeight="1" x14ac:dyDescent="0.25">
      <c r="A302" s="109">
        <v>23</v>
      </c>
      <c r="B302" s="150"/>
      <c r="C302" s="93" t="s">
        <v>722</v>
      </c>
      <c r="D302" s="164" t="s">
        <v>723</v>
      </c>
      <c r="E302" s="95">
        <v>28004</v>
      </c>
      <c r="F302" s="96">
        <v>29405</v>
      </c>
      <c r="G302" s="151">
        <v>1.31</v>
      </c>
      <c r="H302" s="112"/>
      <c r="I302" s="120"/>
      <c r="J302" s="120"/>
      <c r="K302" s="120"/>
      <c r="L302" s="111"/>
      <c r="M302" s="112">
        <v>1.4</v>
      </c>
      <c r="N302" s="112">
        <v>1.68</v>
      </c>
      <c r="O302" s="112">
        <v>2.23</v>
      </c>
      <c r="P302" s="113">
        <v>2.57</v>
      </c>
      <c r="Q302" s="103">
        <f>SUM(Q303:Q308)</f>
        <v>730</v>
      </c>
      <c r="R302" s="104">
        <f>SUM(R303:R308)</f>
        <v>33667048.827720001</v>
      </c>
      <c r="S302" s="114">
        <f t="shared" ref="S302:CD302" si="465">SUM(S303:S308)</f>
        <v>4</v>
      </c>
      <c r="T302" s="115">
        <f t="shared" si="465"/>
        <v>197349.77621333333</v>
      </c>
      <c r="U302" s="104">
        <f t="shared" si="465"/>
        <v>671</v>
      </c>
      <c r="V302" s="104">
        <f t="shared" si="465"/>
        <v>47200001.586500004</v>
      </c>
      <c r="W302" s="104">
        <f t="shared" si="465"/>
        <v>0</v>
      </c>
      <c r="X302" s="104">
        <f t="shared" si="465"/>
        <v>0</v>
      </c>
      <c r="Y302" s="104">
        <f t="shared" si="465"/>
        <v>5</v>
      </c>
      <c r="Z302" s="104">
        <f t="shared" si="465"/>
        <v>249225.02908333333</v>
      </c>
      <c r="AA302" s="104">
        <f t="shared" si="465"/>
        <v>0</v>
      </c>
      <c r="AB302" s="104">
        <f t="shared" si="465"/>
        <v>0</v>
      </c>
      <c r="AC302" s="104">
        <f t="shared" si="465"/>
        <v>0</v>
      </c>
      <c r="AD302" s="104">
        <f t="shared" si="465"/>
        <v>0</v>
      </c>
      <c r="AE302" s="104">
        <f t="shared" si="465"/>
        <v>441</v>
      </c>
      <c r="AF302" s="105">
        <f t="shared" si="465"/>
        <v>21310667.213220004</v>
      </c>
      <c r="AG302" s="104">
        <f t="shared" si="465"/>
        <v>670</v>
      </c>
      <c r="AH302" s="104">
        <f t="shared" si="465"/>
        <v>32476054.666183338</v>
      </c>
      <c r="AI302" s="106">
        <f t="shared" si="465"/>
        <v>598</v>
      </c>
      <c r="AJ302" s="104">
        <f t="shared" si="465"/>
        <v>34408178.621506661</v>
      </c>
      <c r="AK302" s="104">
        <f t="shared" si="465"/>
        <v>194</v>
      </c>
      <c r="AL302" s="104">
        <f t="shared" si="465"/>
        <v>13215499.083724</v>
      </c>
      <c r="AM302" s="104">
        <f t="shared" si="465"/>
        <v>0</v>
      </c>
      <c r="AN302" s="104">
        <f t="shared" si="465"/>
        <v>0</v>
      </c>
      <c r="AO302" s="106">
        <f t="shared" si="465"/>
        <v>3</v>
      </c>
      <c r="AP302" s="104">
        <f t="shared" si="465"/>
        <v>176053.61188799998</v>
      </c>
      <c r="AQ302" s="104">
        <v>30</v>
      </c>
      <c r="AR302" s="104">
        <v>1742338.6299999994</v>
      </c>
      <c r="AS302" s="104">
        <f t="shared" si="465"/>
        <v>0</v>
      </c>
      <c r="AT302" s="104">
        <f t="shared" si="465"/>
        <v>0</v>
      </c>
      <c r="AU302" s="104">
        <f t="shared" si="465"/>
        <v>0</v>
      </c>
      <c r="AV302" s="104">
        <f t="shared" si="465"/>
        <v>0</v>
      </c>
      <c r="AW302" s="104">
        <f t="shared" si="465"/>
        <v>140</v>
      </c>
      <c r="AX302" s="104">
        <f t="shared" si="465"/>
        <v>6783198.8441000003</v>
      </c>
      <c r="AY302" s="104">
        <f t="shared" si="465"/>
        <v>1290</v>
      </c>
      <c r="AZ302" s="104">
        <f t="shared" si="465"/>
        <v>76198146.356639996</v>
      </c>
      <c r="BA302" s="104">
        <f t="shared" si="465"/>
        <v>500</v>
      </c>
      <c r="BB302" s="104">
        <f t="shared" si="465"/>
        <v>26158953.631999996</v>
      </c>
      <c r="BC302" s="104">
        <f t="shared" si="465"/>
        <v>0</v>
      </c>
      <c r="BD302" s="104">
        <f t="shared" si="465"/>
        <v>0</v>
      </c>
      <c r="BE302" s="104">
        <f t="shared" si="465"/>
        <v>93</v>
      </c>
      <c r="BF302" s="104">
        <f t="shared" si="465"/>
        <v>4050832.7999999993</v>
      </c>
      <c r="BG302" s="104">
        <f t="shared" si="465"/>
        <v>26</v>
      </c>
      <c r="BH302" s="104">
        <f t="shared" si="465"/>
        <v>1211623.9702560001</v>
      </c>
      <c r="BI302" s="104">
        <f t="shared" si="465"/>
        <v>175</v>
      </c>
      <c r="BJ302" s="104">
        <f t="shared" si="465"/>
        <v>11057088.419664001</v>
      </c>
      <c r="BK302" s="104">
        <f t="shared" si="465"/>
        <v>131</v>
      </c>
      <c r="BL302" s="104">
        <f t="shared" si="465"/>
        <v>8479387.2189600002</v>
      </c>
      <c r="BM302" s="104">
        <f t="shared" si="465"/>
        <v>830</v>
      </c>
      <c r="BN302" s="104">
        <f t="shared" si="465"/>
        <v>39368871.219999999</v>
      </c>
      <c r="BO302" s="104">
        <f t="shared" si="465"/>
        <v>489</v>
      </c>
      <c r="BP302" s="104">
        <f t="shared" si="465"/>
        <v>20710006.718099996</v>
      </c>
      <c r="BQ302" s="104">
        <f t="shared" si="465"/>
        <v>0</v>
      </c>
      <c r="BR302" s="104">
        <f t="shared" si="465"/>
        <v>0</v>
      </c>
      <c r="BS302" s="104">
        <f t="shared" si="465"/>
        <v>403</v>
      </c>
      <c r="BT302" s="104">
        <f t="shared" si="465"/>
        <v>21653858.846760001</v>
      </c>
      <c r="BU302" s="104">
        <f t="shared" si="465"/>
        <v>26</v>
      </c>
      <c r="BV302" s="104">
        <f t="shared" si="465"/>
        <v>865024.50776000018</v>
      </c>
      <c r="BW302" s="104">
        <f t="shared" si="465"/>
        <v>0</v>
      </c>
      <c r="BX302" s="104">
        <f t="shared" si="465"/>
        <v>0</v>
      </c>
      <c r="BY302" s="104">
        <f t="shared" si="465"/>
        <v>173</v>
      </c>
      <c r="BZ302" s="104">
        <f t="shared" si="465"/>
        <v>7753662.9555000002</v>
      </c>
      <c r="CA302" s="104">
        <f t="shared" si="465"/>
        <v>392</v>
      </c>
      <c r="CB302" s="104">
        <f t="shared" si="465"/>
        <v>22111177.089400001</v>
      </c>
      <c r="CC302" s="104">
        <f t="shared" si="465"/>
        <v>207</v>
      </c>
      <c r="CD302" s="104">
        <f t="shared" si="465"/>
        <v>9308018.821733335</v>
      </c>
      <c r="CE302" s="104">
        <f t="shared" ref="CE302:CX302" si="466">SUM(CE303:CE308)</f>
        <v>200</v>
      </c>
      <c r="CF302" s="104">
        <f t="shared" si="466"/>
        <v>8257688.5299999993</v>
      </c>
      <c r="CG302" s="104">
        <f t="shared" si="466"/>
        <v>195</v>
      </c>
      <c r="CH302" s="104">
        <f t="shared" si="466"/>
        <v>9386094.9004199989</v>
      </c>
      <c r="CI302" s="104">
        <f t="shared" si="466"/>
        <v>0</v>
      </c>
      <c r="CJ302" s="104">
        <f t="shared" si="466"/>
        <v>0</v>
      </c>
      <c r="CK302" s="104">
        <f t="shared" si="466"/>
        <v>5</v>
      </c>
      <c r="CL302" s="104">
        <f t="shared" si="466"/>
        <v>241864.3584</v>
      </c>
      <c r="CM302" s="104">
        <f t="shared" si="466"/>
        <v>5</v>
      </c>
      <c r="CN302" s="104">
        <f t="shared" si="466"/>
        <v>260256.58679999999</v>
      </c>
      <c r="CO302" s="104">
        <f t="shared" si="466"/>
        <v>95</v>
      </c>
      <c r="CP302" s="104">
        <f t="shared" si="466"/>
        <v>1600646.5799999998</v>
      </c>
      <c r="CQ302" s="104">
        <f t="shared" si="466"/>
        <v>66</v>
      </c>
      <c r="CR302" s="104">
        <f t="shared" si="466"/>
        <v>3872551.0026233336</v>
      </c>
      <c r="CS302" s="104">
        <f t="shared" si="466"/>
        <v>65</v>
      </c>
      <c r="CT302" s="104">
        <f t="shared" si="466"/>
        <v>5374847.3088916661</v>
      </c>
      <c r="CU302" s="104">
        <f t="shared" si="466"/>
        <v>0</v>
      </c>
      <c r="CV302" s="104">
        <f t="shared" si="466"/>
        <v>0</v>
      </c>
      <c r="CW302" s="104">
        <f t="shared" si="466"/>
        <v>8852</v>
      </c>
      <c r="CX302" s="104">
        <f t="shared" si="466"/>
        <v>469346217.7140469</v>
      </c>
    </row>
    <row r="303" spans="1:102" ht="22.5" customHeight="1" x14ac:dyDescent="0.25">
      <c r="A303" s="91"/>
      <c r="B303" s="116">
        <v>238</v>
      </c>
      <c r="C303" s="117" t="s">
        <v>724</v>
      </c>
      <c r="D303" s="161" t="s">
        <v>725</v>
      </c>
      <c r="E303" s="95">
        <v>28004</v>
      </c>
      <c r="F303" s="96">
        <v>29405</v>
      </c>
      <c r="G303" s="119">
        <v>0.85</v>
      </c>
      <c r="H303" s="107">
        <v>1</v>
      </c>
      <c r="I303" s="108"/>
      <c r="J303" s="108"/>
      <c r="K303" s="108"/>
      <c r="L303" s="63"/>
      <c r="M303" s="120">
        <v>1.4</v>
      </c>
      <c r="N303" s="120">
        <v>1.68</v>
      </c>
      <c r="O303" s="120">
        <v>2.23</v>
      </c>
      <c r="P303" s="121">
        <v>2.57</v>
      </c>
      <c r="Q303" s="122">
        <v>50</v>
      </c>
      <c r="R303" s="123">
        <f>(Q303/12*2*$E303*$G303*$H303*$M303*$R$11)+(Q303/12*10*$F303*$G303*$H303*$M303*$R$11)</f>
        <v>1909274.6750000003</v>
      </c>
      <c r="S303" s="124"/>
      <c r="T303" s="125">
        <f>(S303/12*2*$E303*$G303*$H303*$M303*$R$11)+(S303/12*10*$F303*$G303*$H303*$M303*$R$11)</f>
        <v>0</v>
      </c>
      <c r="U303" s="123">
        <v>21</v>
      </c>
      <c r="V303" s="123">
        <f>(U303/12*2*$E303*$G303*$H303*$M303*$V$11)+(U303/12*10*$F303*$G303*$H303*$M303*$V$12)</f>
        <v>977728.96025</v>
      </c>
      <c r="W303" s="123"/>
      <c r="X303" s="126">
        <f>(W303/12*2*$E303*$G303*$H303*$M303*$X$11)+(W303/12*10*$F303*$G303*$H303*$M303*$X$12)</f>
        <v>0</v>
      </c>
      <c r="Y303" s="123"/>
      <c r="Z303" s="123">
        <f>(Y303/12*2*$E303*$G303*$H303*$M303*$Z$11)+(Y303/12*10*$F303*$G303*$H303*$M303*$Z$12)</f>
        <v>0</v>
      </c>
      <c r="AA303" s="123"/>
      <c r="AB303" s="123">
        <f>(AA303/12*2*$E303*$G303*$H303*$M303*$AB$11)+(AA303/12*10*$F303*$G303*$H303*$M303*$AB$11)</f>
        <v>0</v>
      </c>
      <c r="AC303" s="123"/>
      <c r="AD303" s="123"/>
      <c r="AE303" s="123">
        <v>5</v>
      </c>
      <c r="AF303" s="127">
        <f>(AE303/12*2*$E303*$G303*$H303*$M303*$AF$11)+(AE303/12*10*$F303*$G303*$H303*$M303*$AF$11)</f>
        <v>190927.46750000003</v>
      </c>
      <c r="AG303" s="123">
        <v>10</v>
      </c>
      <c r="AH303" s="126">
        <f>(AG303/12*2*$E303*$G303*$H303*$M303*$AH$11)+(AG303/12*10*$F303*$G303*$H303*$M303*$AH$11)</f>
        <v>381854.93500000006</v>
      </c>
      <c r="AI303" s="130">
        <v>2</v>
      </c>
      <c r="AJ303" s="123">
        <f t="shared" ref="AJ303:AJ305" si="467">(AI303/12*2*$E303*$G303*$H303*$M303*$AJ$11)+(AI303/12*5*$F303*$G303*$H303*$M303*$AJ$12)+(AI303/12*5*$F303*$G303*$H303*$M303*$AJ$13)</f>
        <v>89673.421833333327</v>
      </c>
      <c r="AK303" s="123">
        <v>2</v>
      </c>
      <c r="AL303" s="123">
        <f t="shared" ref="AL303:AL305" si="468">(AK303/12*2*$E303*$G303*$H303*$N303*$AL$11)+(AK303/12*5*$F303*$G303*$H303*$N303*$AL$12)++(AK303/12*5*$F303*$G303*$H303*$N303*$AL$13)</f>
        <v>107608.10619999998</v>
      </c>
      <c r="AM303" s="129"/>
      <c r="AN303" s="123">
        <f>(AM303/12*2*$E303*$G303*$H303*$N303*$AN$11)+(AM303/12*10*$F303*$G303*$H303*$N303*$AN$12)</f>
        <v>0</v>
      </c>
      <c r="AO303" s="130"/>
      <c r="AP303" s="127">
        <f>(AO303/12*2*$E303*$G303*$H303*$N303*$AP$11)+(AO303/12*10*$F303*$G303*$H303*$N303*$AP$11)</f>
        <v>0</v>
      </c>
      <c r="AQ303" s="127">
        <v>0</v>
      </c>
      <c r="AR303" s="127">
        <v>0</v>
      </c>
      <c r="AS303" s="123"/>
      <c r="AT303" s="123">
        <f>(AS303/12*2*$E303*$G303*$H303*$M303*$AT$11)+(AS303/12*10*$F303*$G303*$H303*$M303*$AT$11)</f>
        <v>0</v>
      </c>
      <c r="AU303" s="123"/>
      <c r="AV303" s="126">
        <f>(AU303/12*2*$E303*$G303*$H303*$M303*$AV$11)+(AU303/12*10*$F303*$G303*$H303*$M303*$AV$12)</f>
        <v>0</v>
      </c>
      <c r="AW303" s="123">
        <v>40</v>
      </c>
      <c r="AX303" s="123">
        <f>(AW303/12*2*$E303*$G303*$H303*$M303*$AX$11)+(AW303/12*10*$F303*$G303*$H303*$M303*$AX$12)</f>
        <v>1596292.18</v>
      </c>
      <c r="AY303" s="131">
        <v>6</v>
      </c>
      <c r="AZ303" s="123">
        <f>(AY303/12*2*$E303*$G303*$H303*$N303*$AZ$11)+(AY303/12*10*$F303*$G303*$H303*$N303*$AZ$11)</f>
        <v>274935.55319999997</v>
      </c>
      <c r="BA303" s="123"/>
      <c r="BB303" s="123">
        <f>(BA303/12*2*$E303*$G303*$H303*$N303*$BB$11)+(BA303/12*10*$F303*$G303*$H303*$N303*$BB$12)</f>
        <v>0</v>
      </c>
      <c r="BC303" s="123"/>
      <c r="BD303" s="126">
        <f>(BC303/12*2*$E303*$G303*$H303*$N303*$BD$11)+(BC303/12*10*$F303*$G303*$H303*$N303*$BD$12)</f>
        <v>0</v>
      </c>
      <c r="BE303" s="123">
        <v>10</v>
      </c>
      <c r="BF303" s="123">
        <f>(BE303/12*10*$F303*$G303*$H303*$N303*$BF$12)</f>
        <v>349919.5</v>
      </c>
      <c r="BG303" s="123"/>
      <c r="BH303" s="123">
        <f>(BG303/12*2*$E303*$G303*$H303*$N303*$BH$11)+(BG303/12*10*$F303*$G303*$H303*$N303*$BH$11)</f>
        <v>0</v>
      </c>
      <c r="BI303" s="123">
        <v>9</v>
      </c>
      <c r="BJ303" s="126">
        <f>(BI303/12*2*$E303*$G303*$H303*$N303*$BJ$11)+(BI303/12*10*$F303*$G303*$H303*$N303*$BJ$11)</f>
        <v>449894.5416</v>
      </c>
      <c r="BK303" s="123"/>
      <c r="BL303" s="127">
        <f>(BK303/12*2*$E303*$G303*$H303*$N303*$BL$11)+(BK303/12*10*$F303*$G303*$H303*$N303*$BL$11)</f>
        <v>0</v>
      </c>
      <c r="BM303" s="123"/>
      <c r="BN303" s="123">
        <f>(BM303/12*2*$E303*$G303*$H303*$M303*$BN$11)+(BM303/12*10*$F303*$G303*$H303*$M303*$BN$11)</f>
        <v>0</v>
      </c>
      <c r="BO303" s="123"/>
      <c r="BP303" s="123">
        <f>(BO303/12*2*$E303*$G303*$H303*$M303*$BP$11)+(BO303/12*10*$F303*$G303*$H303*$M303*$BP$12)</f>
        <v>0</v>
      </c>
      <c r="BQ303" s="123"/>
      <c r="BR303" s="123">
        <f>(BQ303/12*2*$E303*$G303*$H303*$M303*$BR$11)+(BQ303/12*10*$F303*$G303*$H303*$M303*$BR$11)</f>
        <v>0</v>
      </c>
      <c r="BS303" s="123"/>
      <c r="BT303" s="123">
        <f>(BS303/12*2*$E303*$G303*$H303*$N303*$BT$11)+(BS303/12*10*$F303*$G303*$H303*$N303*$BT$11)</f>
        <v>0</v>
      </c>
      <c r="BU303" s="123"/>
      <c r="BV303" s="126">
        <f>(BU303/12*2*$E303*$G303*$H303*$M303*$BV$11)+(BU303/12*10*$F303*$G303*$H303*$M303*$BV$11)</f>
        <v>0</v>
      </c>
      <c r="BW303" s="123"/>
      <c r="BX303" s="123">
        <f>(BW303/12*2*$E303*$G303*$H303*$M303*$BX$11)+(BW303/12*10*$F303*$G303*$H303*$M303*$BX$11)</f>
        <v>0</v>
      </c>
      <c r="BY303" s="123"/>
      <c r="BZ303" s="123">
        <f>(BY303/12*2*$E303*$G303*$H303*$M303*$BZ$11)+(BY303/12*10*$F303*$G303*$H303*$M303*$BZ$11)</f>
        <v>0</v>
      </c>
      <c r="CA303" s="123"/>
      <c r="CB303" s="123">
        <f>(CA303/12*2*$E303*$G303*$H303*$M303*$CB$11)+(CA303/12*10*$F303*$G303*$H303*$M303*$CB$11)</f>
        <v>0</v>
      </c>
      <c r="CC303" s="123"/>
      <c r="CD303" s="123">
        <f>(CC303/12*2*$E303*$G303*$H303*$M303*$CD$11)+(CC303/12*10*$F303*$G303*$H303*$M303*$CD$11)</f>
        <v>0</v>
      </c>
      <c r="CE303" s="123">
        <v>81</v>
      </c>
      <c r="CF303" s="123">
        <f>(CE303/12*10*$F303*$G303*$H303*$N303*$CF$11)</f>
        <v>2834347.9499999997</v>
      </c>
      <c r="CG303" s="132"/>
      <c r="CH303" s="123">
        <f>(CG303/12*2*$E303*$G303*$H303*$N303*$CH$11)+(CG303/12*10*$F303*$G303*$H303*$N303*$CH$11)</f>
        <v>0</v>
      </c>
      <c r="CI303" s="123"/>
      <c r="CJ303" s="127">
        <f t="shared" ref="CJ303:CJ308" si="469">(CI303*$E303*$G303*$H303*$N303*CJ$11)</f>
        <v>0</v>
      </c>
      <c r="CK303" s="123"/>
      <c r="CL303" s="123">
        <f>(CK303/12*2*$E303*$G303*$H303*$N303*$CL$11)+(CK303/12*10*$F303*$G303*$H303*$N303*$CL$12)</f>
        <v>0</v>
      </c>
      <c r="CM303" s="130"/>
      <c r="CN303" s="123">
        <f>(CM303/12*2*$E303*$G303*$H303*$N303*$CN$11)+(CM303/12*10*$F303*$G303*$H303*$N303*$CN$11)</f>
        <v>0</v>
      </c>
      <c r="CO303" s="123"/>
      <c r="CP303" s="123">
        <f>(CO303/12*2*$E303*$G303*$H303*$N303*$CP$11)+(CO303/12*10*$F303*$G303*$H303*$N303*$CP$11)</f>
        <v>0</v>
      </c>
      <c r="CQ303" s="123">
        <v>50</v>
      </c>
      <c r="CR303" s="123">
        <f>(CQ303/12*2*$E303*$G303*$H303*$O303*$CR$11)+(CQ303/12*10*$F303*$G303*$H303*$O303*$CR$11)</f>
        <v>2764728.9125000001</v>
      </c>
      <c r="CS303" s="123"/>
      <c r="CT303" s="133">
        <f>(CS303/12*2*$E303*$G303*$H303*$P303*$CT$11)+(CS303/12*10*$F303*$G303*$H303*$P303*$CT$11)</f>
        <v>0</v>
      </c>
      <c r="CU303" s="127"/>
      <c r="CV303" s="123">
        <f t="shared" ref="CV303:CV308" si="470">(CU303*$E303*$G303*$H303*$M303*CV$11)/12*6+(CU303*$E303*$G303*$H303*1*CV$11)/12*6</f>
        <v>0</v>
      </c>
      <c r="CW303" s="126">
        <f t="shared" ref="CW303:CX308" si="471">SUM(Q303,S303,U303,W303,Y303,AA303,AC303,AE303,AG303,AM303,BQ303,AI303,AU303,CC303,AW303,AY303,AK303,BC303,AO303,AQ303,BE303,CE303,BG303,BI303,BK303,BS303,BM303,BO303,BU303,BW303,BY303,CA303,CG303,BA303,AS303,CI303,CK303,CM303,CO303,CQ303,CS303,CU303)</f>
        <v>286</v>
      </c>
      <c r="CX303" s="126">
        <f t="shared" si="471"/>
        <v>11927186.203083333</v>
      </c>
    </row>
    <row r="304" spans="1:102" ht="45" customHeight="1" x14ac:dyDescent="0.25">
      <c r="A304" s="91"/>
      <c r="B304" s="116">
        <v>239</v>
      </c>
      <c r="C304" s="117" t="s">
        <v>726</v>
      </c>
      <c r="D304" s="161" t="s">
        <v>727</v>
      </c>
      <c r="E304" s="95">
        <v>28004</v>
      </c>
      <c r="F304" s="96">
        <v>29405</v>
      </c>
      <c r="G304" s="119">
        <v>2.48</v>
      </c>
      <c r="H304" s="107">
        <v>1</v>
      </c>
      <c r="I304" s="108"/>
      <c r="J304" s="108"/>
      <c r="K304" s="108"/>
      <c r="L304" s="63"/>
      <c r="M304" s="120">
        <v>1.4</v>
      </c>
      <c r="N304" s="120">
        <v>1.68</v>
      </c>
      <c r="O304" s="120">
        <v>2.23</v>
      </c>
      <c r="P304" s="121">
        <v>2.57</v>
      </c>
      <c r="Q304" s="122">
        <v>1</v>
      </c>
      <c r="R304" s="123">
        <f>(Q304/12*2*$E304*$G304*$H304*$M304*$R$11)+(Q304/12*10*$F304*$G304*$H304*$M304*$R$11)</f>
        <v>111411.79280000001</v>
      </c>
      <c r="S304" s="124"/>
      <c r="T304" s="125">
        <f>(S304/12*2*$E304*$G304*$H304*$M304*$R$11)+(S304/12*10*$F304*$G304*$H304*$M304*$R$11)</f>
        <v>0</v>
      </c>
      <c r="U304" s="123">
        <v>91</v>
      </c>
      <c r="V304" s="123">
        <f>(U304/12*2*$E304*$G304*$H304*$M304*$V$11)+(U304/12*10*$F304*$G304*$H304*$M304*$V$12)</f>
        <v>12361561.442533333</v>
      </c>
      <c r="W304" s="123"/>
      <c r="X304" s="126">
        <f>(W304/12*2*$E304*$G304*$H304*$M304*$X$11)+(W304/12*10*$F304*$G304*$H304*$M304*$X$12)</f>
        <v>0</v>
      </c>
      <c r="Y304" s="123"/>
      <c r="Z304" s="123">
        <f>(Y304/12*2*$E304*$G304*$H304*$M304*$Z$11)+(Y304/12*10*$F304*$G304*$H304*$M304*$Z$12)</f>
        <v>0</v>
      </c>
      <c r="AA304" s="123"/>
      <c r="AB304" s="123">
        <f>(AA304/12*2*$E304*$G304*$H304*$M304*$AB$11)+(AA304/12*10*$F304*$G304*$H304*$M304*$AB$11)</f>
        <v>0</v>
      </c>
      <c r="AC304" s="123"/>
      <c r="AD304" s="123"/>
      <c r="AE304" s="123"/>
      <c r="AF304" s="123">
        <f>(AE304/12*2*$E304*$G304*$H304*$M304*$AF$11)+(AE304/12*10*$F304*$G304*$H304*$M304*$AF$11)</f>
        <v>0</v>
      </c>
      <c r="AG304" s="135">
        <v>0</v>
      </c>
      <c r="AH304" s="136">
        <f>(AG304/12*2*$E304*$G304*$H304*$M304*$AH$11)+(AG304/12*10*$F304*$G304*$H304*$M304*$AH$11)</f>
        <v>0</v>
      </c>
      <c r="AI304" s="123"/>
      <c r="AJ304" s="123">
        <f t="shared" si="467"/>
        <v>0</v>
      </c>
      <c r="AK304" s="123"/>
      <c r="AL304" s="123">
        <f t="shared" si="468"/>
        <v>0</v>
      </c>
      <c r="AM304" s="132"/>
      <c r="AN304" s="123">
        <f>(AM304/12*2*$E304*$G304*$H304*$N304*$AN$11)+(AM304/12*10*$F304*$G304*$H304*$N304*$AN$12)</f>
        <v>0</v>
      </c>
      <c r="AO304" s="130"/>
      <c r="AP304" s="127">
        <f>(AO304/12*2*$E304*$G304*$H304*$N304*$AP$11)+(AO304/12*10*$F304*$G304*$H304*$N304*$AP$11)</f>
        <v>0</v>
      </c>
      <c r="AQ304" s="127">
        <v>0</v>
      </c>
      <c r="AR304" s="127">
        <v>0</v>
      </c>
      <c r="AS304" s="123"/>
      <c r="AT304" s="123">
        <f>(AS304/12*2*$E304*$G304*$H304*$M304*$AT$11)+(AS304/12*10*$F304*$G304*$H304*$M304*$AT$11)</f>
        <v>0</v>
      </c>
      <c r="AU304" s="123"/>
      <c r="AV304" s="126">
        <f>(AU304/12*2*$E304*$G304*$H304*$M304*$AV$11)+(AU304/12*10*$F304*$G304*$H304*$M304*$AV$12)</f>
        <v>0</v>
      </c>
      <c r="AW304" s="123"/>
      <c r="AX304" s="123">
        <f>(AW304/12*2*$E304*$G304*$H304*$M304*$AX$11)+(AW304/12*10*$F304*$G304*$H304*$M304*$AX$12)</f>
        <v>0</v>
      </c>
      <c r="AY304" s="131">
        <v>0</v>
      </c>
      <c r="AZ304" s="123">
        <f>(AY304/12*2*$E304*$G304*$H304*$N304*$AZ$11)+(AY304/12*10*$F304*$G304*$H304*$N304*$AZ$11)</f>
        <v>0</v>
      </c>
      <c r="BA304" s="123"/>
      <c r="BB304" s="123">
        <f>(BA304/12*2*$E304*$G304*$H304*$N304*$BB$11)+(BA304/12*10*$F304*$G304*$H304*$N304*$BB$12)</f>
        <v>0</v>
      </c>
      <c r="BC304" s="123"/>
      <c r="BD304" s="126">
        <f>(BC304/12*2*$E304*$G304*$H304*$N304*$BD$11)+(BC304/12*10*$F304*$G304*$H304*$N304*$BD$12)</f>
        <v>0</v>
      </c>
      <c r="BE304" s="123"/>
      <c r="BF304" s="123">
        <f>(BE304/12*10*$F304*$G304*$H304*$N304*$BF$12)</f>
        <v>0</v>
      </c>
      <c r="BG304" s="123"/>
      <c r="BH304" s="123">
        <f>(BG304/12*2*$E304*$G304*$H304*$N304*$BH$11)+(BG304/12*10*$F304*$G304*$H304*$N304*$BH$11)</f>
        <v>0</v>
      </c>
      <c r="BI304" s="123"/>
      <c r="BJ304" s="126">
        <f>(BI304/12*2*$E304*$G304*$H304*$N304*$BJ$11)+(BI304/12*10*$F304*$G304*$H304*$N304*$BJ$11)</f>
        <v>0</v>
      </c>
      <c r="BK304" s="123"/>
      <c r="BL304" s="127">
        <f>(BK304/12*2*$E304*$G304*$H304*$N304*$BL$11)+(BK304/12*10*$F304*$G304*$H304*$N304*$BL$11)</f>
        <v>0</v>
      </c>
      <c r="BM304" s="123">
        <v>5</v>
      </c>
      <c r="BN304" s="123">
        <f>(BM304/12*2*$E304*$G304*$H304*$M304*$BN$11)+(BM304/12*10*$F304*$G304*$H304*$M304*$BN$11)</f>
        <v>506417.24</v>
      </c>
      <c r="BO304" s="123">
        <v>5</v>
      </c>
      <c r="BP304" s="123">
        <f>(BO304/12*2*$E304*$G304*$H304*$M304*$BP$11)+(BO304/12*10*$F304*$G304*$H304*$M304*$BP$12)</f>
        <v>463878.00666666665</v>
      </c>
      <c r="BQ304" s="123"/>
      <c r="BR304" s="123">
        <f>(BQ304/12*2*$E304*$G304*$H304*$M304*$BR$11)+(BQ304/12*10*$F304*$G304*$H304*$M304*$BR$11)</f>
        <v>0</v>
      </c>
      <c r="BS304" s="123"/>
      <c r="BT304" s="123">
        <f>(BS304/12*2*$E304*$G304*$H304*$N304*$BT$11)+(BS304/12*10*$F304*$G304*$H304*$N304*$BT$11)</f>
        <v>0</v>
      </c>
      <c r="BU304" s="123"/>
      <c r="BV304" s="126">
        <f>(BU304/12*2*$E304*$G304*$H304*$M304*$BV$11)+(BU304/12*10*$F304*$G304*$H304*$M304*$BV$11)</f>
        <v>0</v>
      </c>
      <c r="BW304" s="123"/>
      <c r="BX304" s="123">
        <f>(BW304/12*2*$E304*$G304*$H304*$M304*$BX$11)+(BW304/12*10*$F304*$G304*$H304*$M304*$BX$11)</f>
        <v>0</v>
      </c>
      <c r="BY304" s="123"/>
      <c r="BZ304" s="123">
        <f>(BY304/12*2*$E304*$G304*$H304*$M304*$BZ$11)+(BY304/12*10*$F304*$G304*$H304*$M304*$BZ$11)</f>
        <v>0</v>
      </c>
      <c r="CA304" s="123"/>
      <c r="CB304" s="123">
        <f>(CA304/12*2*$E304*$G304*$H304*$M304*$CB$11)+(CA304/12*10*$F304*$G304*$H304*$M304*$CB$11)</f>
        <v>0</v>
      </c>
      <c r="CC304" s="123"/>
      <c r="CD304" s="123">
        <f>(CC304/12*2*$E304*$G304*$H304*$M304*$CD$11)+(CC304/12*10*$F304*$G304*$H304*$M304*$CD$11)</f>
        <v>0</v>
      </c>
      <c r="CE304" s="123"/>
      <c r="CF304" s="123">
        <f>(CE304/12*10*$F304*$G304*$H304*$N304*$CF$11)</f>
        <v>0</v>
      </c>
      <c r="CG304" s="132"/>
      <c r="CH304" s="123">
        <f>(CG304/12*2*$E304*$G304*$H304*$N304*$CH$11)+(CG304/12*10*$F304*$G304*$H304*$N304*$CH$11)</f>
        <v>0</v>
      </c>
      <c r="CI304" s="123"/>
      <c r="CJ304" s="127">
        <f t="shared" si="469"/>
        <v>0</v>
      </c>
      <c r="CK304" s="123"/>
      <c r="CL304" s="123">
        <f>(CK304/12*2*$E304*$G304*$H304*$N304*$CL$11)+(CK304/12*10*$F304*$G304*$H304*$N304*$CL$12)</f>
        <v>0</v>
      </c>
      <c r="CM304" s="130"/>
      <c r="CN304" s="123">
        <f>(CM304/12*2*$E304*$G304*$H304*$N304*$CN$11)+(CM304/12*10*$F304*$G304*$H304*$N304*$CN$11)</f>
        <v>0</v>
      </c>
      <c r="CO304" s="123"/>
      <c r="CP304" s="123">
        <f>(CO304/12*2*$E304*$G304*$H304*$N304*$CP$11)+(CO304/12*10*$F304*$G304*$H304*$N304*$CP$11)</f>
        <v>0</v>
      </c>
      <c r="CQ304" s="123"/>
      <c r="CR304" s="123">
        <f>(CQ304/12*2*$E304*$G304*$H304*$O304*$CR$11)+(CQ304/12*10*$F304*$G304*$H304*$O304*$CR$11)</f>
        <v>0</v>
      </c>
      <c r="CS304" s="123"/>
      <c r="CT304" s="133">
        <f>(CS304/12*2*$E304*$G304*$H304*$P304*$CT$11)+(CS304/12*10*$F304*$G304*$H304*$P304*$CT$11)</f>
        <v>0</v>
      </c>
      <c r="CU304" s="127"/>
      <c r="CV304" s="123">
        <f t="shared" si="470"/>
        <v>0</v>
      </c>
      <c r="CW304" s="126">
        <f t="shared" si="471"/>
        <v>102</v>
      </c>
      <c r="CX304" s="126">
        <f t="shared" si="471"/>
        <v>13443268.481999999</v>
      </c>
    </row>
    <row r="305" spans="1:102" ht="45" customHeight="1" x14ac:dyDescent="0.25">
      <c r="A305" s="91"/>
      <c r="B305" s="116">
        <v>240</v>
      </c>
      <c r="C305" s="117" t="s">
        <v>728</v>
      </c>
      <c r="D305" s="161" t="s">
        <v>729</v>
      </c>
      <c r="E305" s="95">
        <v>28004</v>
      </c>
      <c r="F305" s="96">
        <v>29405</v>
      </c>
      <c r="G305" s="119">
        <v>0.91</v>
      </c>
      <c r="H305" s="107">
        <v>1</v>
      </c>
      <c r="I305" s="108"/>
      <c r="J305" s="108"/>
      <c r="K305" s="108"/>
      <c r="L305" s="63"/>
      <c r="M305" s="120">
        <v>1.4</v>
      </c>
      <c r="N305" s="120">
        <v>1.68</v>
      </c>
      <c r="O305" s="120">
        <v>2.23</v>
      </c>
      <c r="P305" s="121">
        <v>2.57</v>
      </c>
      <c r="Q305" s="122">
        <v>8</v>
      </c>
      <c r="R305" s="123">
        <f>(Q305/12*2*$E305*$G305*$H305*$M305*$R$11)+(Q305/12*10*$F305*$G305*$H305*$M305*$R$11)</f>
        <v>327047.52079999994</v>
      </c>
      <c r="S305" s="124"/>
      <c r="T305" s="125">
        <f>(S305/12*2*$E305*$G305*$H305*$M305*$R$11)+(S305/12*10*$F305*$G305*$H305*$M305*$R$11)</f>
        <v>0</v>
      </c>
      <c r="U305" s="123">
        <v>10</v>
      </c>
      <c r="V305" s="123">
        <f>(U305/12*2*$E305*$G305*$H305*$M305*$V$11)+(U305/12*10*$F305*$G305*$H305*$M305*$V$12)</f>
        <v>498450.05816666665</v>
      </c>
      <c r="W305" s="123"/>
      <c r="X305" s="126">
        <f>(W305/12*2*$E305*$G305*$H305*$M305*$X$11)+(W305/12*10*$F305*$G305*$H305*$M305*$X$12)</f>
        <v>0</v>
      </c>
      <c r="Y305" s="123">
        <f>3+2</f>
        <v>5</v>
      </c>
      <c r="Z305" s="123">
        <f>(Y305/12*2*$E305*$G305*$H305*$M305*$Z$11)+(Y305/12*10*$F305*$G305*$H305*$M305*$Z$12)</f>
        <v>249225.02908333333</v>
      </c>
      <c r="AA305" s="123"/>
      <c r="AB305" s="123">
        <f>(AA305/12*2*$E305*$G305*$H305*$M305*$AB$11)+(AA305/12*10*$F305*$G305*$H305*$M305*$AB$11)</f>
        <v>0</v>
      </c>
      <c r="AC305" s="123"/>
      <c r="AD305" s="123"/>
      <c r="AE305" s="123">
        <v>5</v>
      </c>
      <c r="AF305" s="127">
        <f>(AE305/12*2*$E305*$G305*$H305*$M305*$AF$11)+(AE305/12*10*$F305*$G305*$H305*$M305*$AF$11)</f>
        <v>204404.70050000001</v>
      </c>
      <c r="AG305" s="123">
        <v>5</v>
      </c>
      <c r="AH305" s="126">
        <f>(AG305/12*2*$E305*$G305*$H305*$M305*$AH$11)+(AG305/12*10*$F305*$G305*$H305*$M305*$AH$11)</f>
        <v>204404.70050000001</v>
      </c>
      <c r="AI305" s="130">
        <v>2</v>
      </c>
      <c r="AJ305" s="123">
        <f t="shared" si="467"/>
        <v>96003.310433333318</v>
      </c>
      <c r="AK305" s="123"/>
      <c r="AL305" s="123">
        <f t="shared" si="468"/>
        <v>0</v>
      </c>
      <c r="AM305" s="132"/>
      <c r="AN305" s="123">
        <f>(AM305/12*2*$E305*$G305*$H305*$N305*$AN$11)+(AM305/12*10*$F305*$G305*$H305*$N305*$AN$12)</f>
        <v>0</v>
      </c>
      <c r="AO305" s="130"/>
      <c r="AP305" s="127">
        <f>(AO305/12*2*$E305*$G305*$H305*$N305*$AP$11)+(AO305/12*10*$F305*$G305*$H305*$N305*$AP$11)</f>
        <v>0</v>
      </c>
      <c r="AQ305" s="127">
        <v>0</v>
      </c>
      <c r="AR305" s="127">
        <v>0</v>
      </c>
      <c r="AS305" s="123"/>
      <c r="AT305" s="123">
        <f>(AS305/12*2*$E305*$G305*$H305*$M305*$AT$11)+(AS305/12*10*$F305*$G305*$H305*$M305*$AT$11)</f>
        <v>0</v>
      </c>
      <c r="AU305" s="123"/>
      <c r="AV305" s="126">
        <f>(AU305/12*2*$E305*$G305*$H305*$M305*$AV$11)+(AU305/12*10*$F305*$G305*$H305*$M305*$AV$12)</f>
        <v>0</v>
      </c>
      <c r="AW305" s="123"/>
      <c r="AX305" s="123">
        <f>(AW305/12*2*$E305*$G305*$H305*$M305*$AX$11)+(AW305/12*10*$F305*$G305*$H305*$M305*$AX$12)</f>
        <v>0</v>
      </c>
      <c r="AY305" s="131">
        <v>0</v>
      </c>
      <c r="AZ305" s="123">
        <f>(AY305/12*2*$E305*$G305*$H305*$N305*$AZ$11)+(AY305/12*10*$F305*$G305*$H305*$N305*$AZ$11)</f>
        <v>0</v>
      </c>
      <c r="BA305" s="123"/>
      <c r="BB305" s="123">
        <f>(BA305/12*2*$E305*$G305*$H305*$N305*$BB$11)+(BA305/12*10*$F305*$G305*$H305*$N305*$BB$12)</f>
        <v>0</v>
      </c>
      <c r="BC305" s="123"/>
      <c r="BD305" s="126">
        <f>(BC305/12*2*$E305*$G305*$H305*$N305*$BD$11)+(BC305/12*10*$F305*$G305*$H305*$N305*$BD$12)</f>
        <v>0</v>
      </c>
      <c r="BE305" s="123"/>
      <c r="BF305" s="123">
        <f>(BE305/12*10*$F305*$G305*$H305*$N305*$BF$12)</f>
        <v>0</v>
      </c>
      <c r="BG305" s="123"/>
      <c r="BH305" s="123">
        <f>(BG305/12*2*$E305*$G305*$H305*$N305*$BH$11)+(BG305/12*10*$F305*$G305*$H305*$N305*$BH$11)</f>
        <v>0</v>
      </c>
      <c r="BI305" s="123">
        <v>7</v>
      </c>
      <c r="BJ305" s="126">
        <f>(BI305/12*2*$E305*$G305*$H305*$N305*$BJ$11)+(BI305/12*10*$F305*$G305*$H305*$N305*$BJ$11)</f>
        <v>374618.06928</v>
      </c>
      <c r="BK305" s="123"/>
      <c r="BL305" s="127">
        <f>(BK305/12*2*$E305*$G305*$H305*$N305*$BL$11)+(BK305/12*10*$F305*$G305*$H305*$N305*$BL$11)</f>
        <v>0</v>
      </c>
      <c r="BM305" s="123"/>
      <c r="BN305" s="123">
        <f>(BM305/12*2*$E305*$G305*$H305*$M305*$BN$11)+(BM305/12*10*$F305*$G305*$H305*$M305*$BN$11)</f>
        <v>0</v>
      </c>
      <c r="BO305" s="123"/>
      <c r="BP305" s="123">
        <f>(BO305/12*2*$E305*$G305*$H305*$M305*$BP$11)+(BO305/12*10*$F305*$G305*$H305*$M305*$BP$12)</f>
        <v>0</v>
      </c>
      <c r="BQ305" s="123"/>
      <c r="BR305" s="123">
        <f>(BQ305/12*2*$E305*$G305*$H305*$M305*$BR$11)+(BQ305/12*10*$F305*$G305*$H305*$M305*$BR$11)</f>
        <v>0</v>
      </c>
      <c r="BS305" s="123"/>
      <c r="BT305" s="123">
        <f>(BS305/12*2*$E305*$G305*$H305*$N305*$BT$11)+(BS305/12*10*$F305*$G305*$H305*$N305*$BT$11)</f>
        <v>0</v>
      </c>
      <c r="BU305" s="123"/>
      <c r="BV305" s="126">
        <f>(BU305/12*2*$E305*$G305*$H305*$M305*$BV$11)+(BU305/12*10*$F305*$G305*$H305*$M305*$BV$11)</f>
        <v>0</v>
      </c>
      <c r="BW305" s="123"/>
      <c r="BX305" s="123">
        <f>(BW305/12*2*$E305*$G305*$H305*$M305*$BX$11)+(BW305/12*10*$F305*$G305*$H305*$M305*$BX$11)</f>
        <v>0</v>
      </c>
      <c r="BY305" s="123"/>
      <c r="BZ305" s="123">
        <f>(BY305/12*2*$E305*$G305*$H305*$M305*$BZ$11)+(BY305/12*10*$F305*$G305*$H305*$M305*$BZ$11)</f>
        <v>0</v>
      </c>
      <c r="CA305" s="123"/>
      <c r="CB305" s="123">
        <f>(CA305/12*2*$E305*$G305*$H305*$M305*$CB$11)+(CA305/12*10*$F305*$G305*$H305*$M305*$CB$11)</f>
        <v>0</v>
      </c>
      <c r="CC305" s="123"/>
      <c r="CD305" s="123">
        <f>(CC305/12*2*$E305*$G305*$H305*$M305*$CD$11)+(CC305/12*10*$F305*$G305*$H305*$M305*$CD$11)</f>
        <v>0</v>
      </c>
      <c r="CE305" s="123"/>
      <c r="CF305" s="123">
        <f>(CE305/12*10*$F305*$G305*$H305*$N305*$CF$11)</f>
        <v>0</v>
      </c>
      <c r="CG305" s="132"/>
      <c r="CH305" s="123">
        <f>(CG305/12*2*$E305*$G305*$H305*$N305*$CH$11)+(CG305/12*10*$F305*$G305*$H305*$N305*$CH$11)</f>
        <v>0</v>
      </c>
      <c r="CI305" s="123"/>
      <c r="CJ305" s="127">
        <f t="shared" si="469"/>
        <v>0</v>
      </c>
      <c r="CK305" s="123"/>
      <c r="CL305" s="123">
        <f>(CK305/12*2*$E305*$G305*$H305*$N305*$CL$11)+(CK305/12*10*$F305*$G305*$H305*$N305*$CL$12)</f>
        <v>0</v>
      </c>
      <c r="CM305" s="130"/>
      <c r="CN305" s="123">
        <f>(CM305/12*2*$E305*$G305*$H305*$N305*$CN$11)+(CM305/12*10*$F305*$G305*$H305*$N305*$CN$11)</f>
        <v>0</v>
      </c>
      <c r="CO305" s="123"/>
      <c r="CP305" s="123">
        <f>(CO305/12*2*$E305*$G305*$H305*$N305*$CP$11)+(CO305/12*10*$F305*$G305*$H305*$N305*$CP$11)</f>
        <v>0</v>
      </c>
      <c r="CQ305" s="123"/>
      <c r="CR305" s="123">
        <f>(CQ305/12*2*$E305*$G305*$H305*$O305*$CR$11)+(CQ305/12*10*$F305*$G305*$H305*$O305*$CR$11)</f>
        <v>0</v>
      </c>
      <c r="CS305" s="123"/>
      <c r="CT305" s="133">
        <f>(CS305/12*2*$E305*$G305*$H305*$P305*$CT$11)+(CS305/12*10*$F305*$G305*$H305*$P305*$CT$11)</f>
        <v>0</v>
      </c>
      <c r="CU305" s="127"/>
      <c r="CV305" s="123">
        <f t="shared" si="470"/>
        <v>0</v>
      </c>
      <c r="CW305" s="126">
        <f t="shared" si="471"/>
        <v>42</v>
      </c>
      <c r="CX305" s="126">
        <f t="shared" si="471"/>
        <v>1954153.3887633332</v>
      </c>
    </row>
    <row r="306" spans="1:102" ht="25.5" customHeight="1" x14ac:dyDescent="0.25">
      <c r="A306" s="91"/>
      <c r="B306" s="116">
        <v>241</v>
      </c>
      <c r="C306" s="117" t="s">
        <v>730</v>
      </c>
      <c r="D306" s="161" t="s">
        <v>731</v>
      </c>
      <c r="E306" s="95">
        <v>28004</v>
      </c>
      <c r="F306" s="96">
        <v>29405</v>
      </c>
      <c r="G306" s="119">
        <v>1.28</v>
      </c>
      <c r="H306" s="110">
        <v>0.9</v>
      </c>
      <c r="I306" s="110">
        <v>0.85</v>
      </c>
      <c r="J306" s="107"/>
      <c r="K306" s="107"/>
      <c r="L306" s="63"/>
      <c r="M306" s="120">
        <v>1.4</v>
      </c>
      <c r="N306" s="120">
        <v>1.68</v>
      </c>
      <c r="O306" s="120">
        <v>2.23</v>
      </c>
      <c r="P306" s="121">
        <v>2.57</v>
      </c>
      <c r="Q306" s="122">
        <v>231</v>
      </c>
      <c r="R306" s="123">
        <f>(Q306/12*2*$E306*$G306*$H306*$M306*$R$11)+(Q306/12*10*$F306*$G306*$I306*$M306*$R$11)</f>
        <v>11396949.57632</v>
      </c>
      <c r="S306" s="124">
        <v>4</v>
      </c>
      <c r="T306" s="125">
        <f>(S306/12*2*$E306*$G306*$H306*$M306*$R$11)+(S306/12*10*$F306*$G306*$I306*$M306*$R$11)</f>
        <v>197349.77621333333</v>
      </c>
      <c r="U306" s="123">
        <v>510</v>
      </c>
      <c r="V306" s="123">
        <f>(U306/12*2*$E306*$G306*$H306*$M306*$V$11)+(U306/12*10*$F306*$G306*$I306*$M306*$V$12)</f>
        <v>30691992.956799999</v>
      </c>
      <c r="W306" s="123"/>
      <c r="X306" s="126">
        <f>(W306/12*2*$E306*$G306*$H306*$M306*$X$11)+(W306/12*10*$F306*$G306*$I306*$M306*$X$12)</f>
        <v>0</v>
      </c>
      <c r="Y306" s="123"/>
      <c r="Z306" s="123">
        <f>(Y306/12*2*$E306*$G306*$H306*$M306*$Z$11)+(Y306/12*10*$F306*$G306*$I306*$M306*$Z$12)</f>
        <v>0</v>
      </c>
      <c r="AA306" s="123"/>
      <c r="AB306" s="123">
        <f>(AA306/12*2*$E306*$G306*$H306*$M306*$AB$11)+(AA306/12*10*$F306*$G306*$I306*$M306*$AB$11)</f>
        <v>0</v>
      </c>
      <c r="AC306" s="123"/>
      <c r="AD306" s="123"/>
      <c r="AE306" s="123">
        <f>302+14+19+10</f>
        <v>345</v>
      </c>
      <c r="AF306" s="127">
        <f>(AE306/12*2*$E306*$G306*$H306*$M306*$AF$11)+(AE306/12*10*$F306*$G306*$I306*$M306*$AF$11)</f>
        <v>17021418.198400002</v>
      </c>
      <c r="AG306" s="123">
        <v>550</v>
      </c>
      <c r="AH306" s="126">
        <f>(AG306/12*2*$E306*$G306*$H306*$M306*$AH$11)+(AG306/12*10*$F306*$G306*$I306*$M306*$AH$11)</f>
        <v>27135594.229333337</v>
      </c>
      <c r="AI306" s="130">
        <v>554</v>
      </c>
      <c r="AJ306" s="123">
        <f t="shared" ref="AJ306:AJ307" si="472">(AI306/12*2*$E306*$G306*$H306*$M306*$AJ$11)+(AI306/12*5*$F306*$G306*$I306*$M306*$AJ$12)+(AI306/12*5*$F306*$G306*$I306*$M306*$AJ$13)</f>
        <v>32095791.091839995</v>
      </c>
      <c r="AK306" s="123">
        <f>100+50</f>
        <v>150</v>
      </c>
      <c r="AL306" s="123">
        <f t="shared" ref="AL306:AL307" si="473">(AK306/12*2*$E306*$G306*$H306*$N306*$AL$11)+(AK306/12*5*$F306*$G306*$I306*$N306*$AL$12)+(AK306/12*5*$F306*$G306*$I306*$N306*$AL$13)</f>
        <v>10428235.3728</v>
      </c>
      <c r="AM306" s="129"/>
      <c r="AN306" s="123">
        <f>(AM306/12*2*$E306*$G306*$H306*$N306*$AN$11)+(AM306/12*10*$F306*$G306*$I306*$N306*$AN$12)</f>
        <v>0</v>
      </c>
      <c r="AO306" s="130"/>
      <c r="AP306" s="127">
        <f>(AO306/12*2*$E306*$G306*$H306*$N306*$AP$11)+(AO306/12*10*$F306*$G306*$I306*$N306*$AP$11)</f>
        <v>0</v>
      </c>
      <c r="AQ306" s="127">
        <v>24</v>
      </c>
      <c r="AR306" s="127">
        <v>1365014.7999999996</v>
      </c>
      <c r="AS306" s="123"/>
      <c r="AT306" s="123"/>
      <c r="AU306" s="123"/>
      <c r="AV306" s="126"/>
      <c r="AW306" s="123">
        <v>80</v>
      </c>
      <c r="AX306" s="123">
        <f>(AW306/12*2*$E306*$G306*$H306*$M306*$AX$11)+(AW306/12*10*$F306*$G306*$I306*$M306*$AX$12)</f>
        <v>4126654.5151999998</v>
      </c>
      <c r="AY306" s="123">
        <v>1200</v>
      </c>
      <c r="AZ306" s="123">
        <f>(AY306/12*2*$E306*$G306*$H306*$N306*$AZ$11)+(AY306/12*10*$F306*$G306*$I306*$N306*$AZ$11)</f>
        <v>71045919.436800003</v>
      </c>
      <c r="BA306" s="123">
        <v>480</v>
      </c>
      <c r="BB306" s="123">
        <f>(BA306/12*2*$E306*$G306*$H306*$N306*$BB$11)+(BA306/12*10*$F306*$G306*$I306*$N306*$BB$12)</f>
        <v>24974917.631999996</v>
      </c>
      <c r="BC306" s="123"/>
      <c r="BD306" s="126"/>
      <c r="BE306" s="123">
        <v>70</v>
      </c>
      <c r="BF306" s="123">
        <f>(BE306/12*10*$F306*$G306*$I306*$N306*$BF$12)</f>
        <v>3135278.7199999993</v>
      </c>
      <c r="BG306" s="123">
        <v>14</v>
      </c>
      <c r="BH306" s="123">
        <f>(BG306/12*2*$E306*$G306*$H306*$N306*$BH$11)+(BG306/12*10*$F306*$G306*$I306*$N306*$BH$11)</f>
        <v>678165.59462400002</v>
      </c>
      <c r="BI306" s="123">
        <v>136</v>
      </c>
      <c r="BJ306" s="126">
        <f>(BI306/12*2*$E306*$G306*$H306*$N306*$BJ$11)+(BI306/12*10*$F306*$G306*$I306*$N306*$BJ$11)</f>
        <v>8783859.1303679999</v>
      </c>
      <c r="BK306" s="123">
        <v>105</v>
      </c>
      <c r="BL306" s="127">
        <f>(BK306/12*2*$E306*$G306*$H306*$N306*$BL$11)+(BK306/12*10*$F306*$G306*$I306*$N306*$BL$11)</f>
        <v>6781655.9462399995</v>
      </c>
      <c r="BM306" s="123">
        <v>525</v>
      </c>
      <c r="BN306" s="123">
        <f>(BM306/12*2*$E306*$G306*$H306*$M306*$BN$11)+(BM306/12*10*$F306*$G306*$I306*$M306*$BN$11)</f>
        <v>23547416.48</v>
      </c>
      <c r="BO306" s="123">
        <v>423</v>
      </c>
      <c r="BP306" s="123">
        <f>(BO306/12*2*$E306*$G306*$H306*$M306*$BP$11)+(BO306/12*10*$F306*$G306*$I306*$M306*$BP$12)</f>
        <v>17393653.065599997</v>
      </c>
      <c r="BQ306" s="123"/>
      <c r="BR306" s="123">
        <f>(BQ306/12*2*$E306*$G306*$H306*$M306*$BR$11)+(BQ306/12*10*$F306*$G306*$I306*$M306*$BR$11)</f>
        <v>0</v>
      </c>
      <c r="BS306" s="123">
        <v>384</v>
      </c>
      <c r="BT306" s="123">
        <f>(BS306/12*2*$E306*$G306*$H306*$N306*$BT$11)+(BS306/12*10*$F306*$G306*$I306*$N306*$BT$11)</f>
        <v>20667903.83616</v>
      </c>
      <c r="BU306" s="123">
        <v>3</v>
      </c>
      <c r="BV306" s="126">
        <f>(BU306/12*2*$E306*$G306*$H306*$M306*$BV$11)+(BU306/12*10*$F306*$G306*$I306*$M306*$BV$11)</f>
        <v>107645.33248</v>
      </c>
      <c r="BW306" s="123"/>
      <c r="BX306" s="123">
        <f>(BW306/12*2*$E306*$G306*$H306*$M306*$BX$11)+(BW306/12*10*$F306*$G306*$I306*$M306*$BX$11)</f>
        <v>0</v>
      </c>
      <c r="BY306" s="123">
        <v>150</v>
      </c>
      <c r="BZ306" s="123">
        <f>(BY306/12*2*$E306*$G306*$H306*$M306*$BZ$11)+(BY306/12*10*$F306*$G306*$I306*$M306*$BZ$11)</f>
        <v>6727833.2800000003</v>
      </c>
      <c r="CA306" s="123">
        <v>200</v>
      </c>
      <c r="CB306" s="123">
        <f>(CA306/12*2*$E306*$G306*$H306*$M306*$CB$11)+(CA306/12*10*$F306*$G306*$I306*$M306*$CB$11)</f>
        <v>10764533.248000002</v>
      </c>
      <c r="CC306" s="123">
        <v>200</v>
      </c>
      <c r="CD306" s="123">
        <f>(CC306/12*2*$E306*$G306*$H306*$M306*$CD$11)+(CC306/12*10*$F306*$G306*$I306*$M306*$CD$11)</f>
        <v>8970444.3733333349</v>
      </c>
      <c r="CE306" s="123">
        <v>105</v>
      </c>
      <c r="CF306" s="123">
        <f>(CE306/12*10*$F306*$G306*$I306*$N306*$CF$11)</f>
        <v>4702918.08</v>
      </c>
      <c r="CG306" s="132">
        <v>180</v>
      </c>
      <c r="CH306" s="123">
        <f>(CG306/12*2*$E306*$G306*$H306*$N306*$CH$11)+(CG306/12*10*$F306*$G306*$I306*$N306*$CH$11)</f>
        <v>8719271.930879999</v>
      </c>
      <c r="CI306" s="123"/>
      <c r="CJ306" s="127"/>
      <c r="CK306" s="123">
        <v>5</v>
      </c>
      <c r="CL306" s="123">
        <f>(CK306*$F306*$G306*$I306*$N306*$CL$12)</f>
        <v>241864.3584</v>
      </c>
      <c r="CM306" s="130">
        <v>3</v>
      </c>
      <c r="CN306" s="123">
        <f>(CM306/12*2*$E306*$G306*$H306*$N306*$CN$11)+(CM306/12*10*$F306*$G306*$I306*$N306*$CN$11)</f>
        <v>161467.99872</v>
      </c>
      <c r="CO306" s="123">
        <v>70</v>
      </c>
      <c r="CP306" s="123">
        <v>1155708.2699999998</v>
      </c>
      <c r="CQ306" s="123">
        <v>10</v>
      </c>
      <c r="CR306" s="123">
        <f>(CQ306/12*2*$E306*$G306*$H306*$O306*$CR$11)+(CQ306/12*10*$F306*$G306*$I306*$O306*$CR$11)</f>
        <v>714431.81973333342</v>
      </c>
      <c r="CS306" s="123">
        <v>55</v>
      </c>
      <c r="CT306" s="133">
        <f>(CS306/12*2*$E306*$G306*$H306*$P306*$CT$11)+(CS306/12*10*$F306*$G306*$I306*$P306*$CT$11)</f>
        <v>4528472.5434666658</v>
      </c>
      <c r="CU306" s="127"/>
      <c r="CV306" s="123"/>
      <c r="CW306" s="126">
        <f t="shared" si="471"/>
        <v>6766</v>
      </c>
      <c r="CX306" s="126">
        <f t="shared" si="471"/>
        <v>358262361.59371197</v>
      </c>
    </row>
    <row r="307" spans="1:102" ht="21.75" customHeight="1" x14ac:dyDescent="0.25">
      <c r="A307" s="91"/>
      <c r="B307" s="116">
        <v>242</v>
      </c>
      <c r="C307" s="117" t="s">
        <v>732</v>
      </c>
      <c r="D307" s="161" t="s">
        <v>733</v>
      </c>
      <c r="E307" s="95">
        <v>28004</v>
      </c>
      <c r="F307" s="96">
        <v>29405</v>
      </c>
      <c r="G307" s="119">
        <v>1.1100000000000001</v>
      </c>
      <c r="H307" s="110">
        <v>0.95</v>
      </c>
      <c r="I307" s="110">
        <v>0.9</v>
      </c>
      <c r="J307" s="108"/>
      <c r="K307" s="108"/>
      <c r="L307" s="63"/>
      <c r="M307" s="120">
        <v>1.4</v>
      </c>
      <c r="N307" s="120">
        <v>1.68</v>
      </c>
      <c r="O307" s="120">
        <v>2.23</v>
      </c>
      <c r="P307" s="121">
        <v>2.57</v>
      </c>
      <c r="Q307" s="122">
        <v>440</v>
      </c>
      <c r="R307" s="123">
        <f>(Q307/12*2*$E307*$G307*$H307*$M307*$R$11)+(Q307/12*10*$F307*$G307*$I307*$M307*$R$11)</f>
        <v>19922365.262800001</v>
      </c>
      <c r="S307" s="124"/>
      <c r="T307" s="125">
        <f>(S307/12*2*$E307*$G307*$H307*$M307*$R$11)+(S307/12*10*$F307*$G307*$I307*$M307*$R$11)</f>
        <v>0</v>
      </c>
      <c r="U307" s="123"/>
      <c r="V307" s="123">
        <f>(U307/12*2*$E307*$G307*$H307*$M307*$V$11)+(U307/12*10*$F307*$G307*$I307*$M307*$V$12)</f>
        <v>0</v>
      </c>
      <c r="W307" s="123"/>
      <c r="X307" s="126">
        <f>(W307/12*2*$E307*$G307*$H307*$M307*$X$11)+(W307/12*10*$F307*$G307*$I307*$M307*$X$12)</f>
        <v>0</v>
      </c>
      <c r="Y307" s="123"/>
      <c r="Z307" s="123">
        <f>(Y307/12*2*$E307*$G307*$H307*$M307*$Z$11)+(Y307/12*10*$F307*$G307*$I307*$M307*$Z$12)</f>
        <v>0</v>
      </c>
      <c r="AA307" s="123"/>
      <c r="AB307" s="123">
        <f>(AA307/12*2*$E307*$G307*$H307*$M307*$AB$11)+(AA307/12*10*$F307*$G307*$I307*$M307*$AB$11)</f>
        <v>0</v>
      </c>
      <c r="AC307" s="123"/>
      <c r="AD307" s="123"/>
      <c r="AE307" s="123">
        <f>80+2+4</f>
        <v>86</v>
      </c>
      <c r="AF307" s="127">
        <f>(AE307/12*2*$E307*$G307*$H307*$M307*$AF$11)+(AE307/12*10*$F307*$G307*$I307*$M307*$AF$11)</f>
        <v>3893916.8468200015</v>
      </c>
      <c r="AG307" s="123">
        <v>105</v>
      </c>
      <c r="AH307" s="126">
        <f>(AG307/12*2*$E307*$G307*$H307*$M307*$AH$11)+(AG307/12*10*$F307*$G307*$I307*$M307*$AH$11)</f>
        <v>4754200.8013500012</v>
      </c>
      <c r="AI307" s="130">
        <v>40</v>
      </c>
      <c r="AJ307" s="123">
        <f t="shared" si="472"/>
        <v>2126710.7974000005</v>
      </c>
      <c r="AK307" s="123">
        <f>15+27</f>
        <v>42</v>
      </c>
      <c r="AL307" s="123">
        <f t="shared" si="473"/>
        <v>2679655.6047240002</v>
      </c>
      <c r="AM307" s="132"/>
      <c r="AN307" s="123">
        <f>(AM307/12*2*$E307*$G307*$H307*$N307*$AN$11)+(AM307/12*10*$F307*$G307*$I307*$N307*$AN$12)</f>
        <v>0</v>
      </c>
      <c r="AO307" s="130">
        <v>2</v>
      </c>
      <c r="AP307" s="127">
        <f>(AO307/12*2*$E307*$G307*$H307*$N307*$AP$11)+(AO307/12*10*$F307*$G307*$I307*$N307*$AP$11)</f>
        <v>108667.44688800001</v>
      </c>
      <c r="AQ307" s="127">
        <v>2</v>
      </c>
      <c r="AR307" s="127">
        <v>108857.94</v>
      </c>
      <c r="AS307" s="123"/>
      <c r="AT307" s="123"/>
      <c r="AU307" s="123"/>
      <c r="AV307" s="126"/>
      <c r="AW307" s="123">
        <v>10</v>
      </c>
      <c r="AX307" s="123">
        <f>(AW307/12*2*$E307*$G307*$H307*$M307*$AX$11)+(AW307/12*10*$F307*$G307*$I307*$M307*$AX$12)</f>
        <v>473380.02390000009</v>
      </c>
      <c r="AY307" s="123">
        <v>60</v>
      </c>
      <c r="AZ307" s="123">
        <f>(AY307/12*2*$E307*$G307*$H307*$N307*$AZ$11)+(AY307/12*10*$F307*$G307*$I307*$N307*$AZ$11)</f>
        <v>3260023.4066400006</v>
      </c>
      <c r="BA307" s="123"/>
      <c r="BB307" s="123">
        <f>(BA307/12*2*$E307*$G307*$H307*$N307*$BB$11)+(BA307/12*10*$F307*$G307*$I307*$N307*$BB$12)</f>
        <v>0</v>
      </c>
      <c r="BC307" s="123"/>
      <c r="BD307" s="126"/>
      <c r="BE307" s="123">
        <v>10</v>
      </c>
      <c r="BF307" s="123">
        <f>(BE307/12*10*$F307*$G307*$I307*$N307*$BF$12)</f>
        <v>411258.33000000007</v>
      </c>
      <c r="BG307" s="123">
        <v>12</v>
      </c>
      <c r="BH307" s="123">
        <f>(BG307/12*2*$E307*$G307*$H307*$N307*$BH$11)+(BG307/12*10*$F307*$G307*$I307*$N307*$BH$11)</f>
        <v>533458.37563200004</v>
      </c>
      <c r="BI307" s="123">
        <v>17</v>
      </c>
      <c r="BJ307" s="126">
        <f>(BI307/12*2*$E307*$G307*$H307*$N307*$BJ$11)+(BI307/12*10*$F307*$G307*$I307*$N307*$BJ$11)</f>
        <v>1007643.598416</v>
      </c>
      <c r="BK307" s="123">
        <v>15</v>
      </c>
      <c r="BL307" s="127">
        <f>(BK307/12*2*$E307*$G307*$H307*$N307*$BL$11)+(BK307/12*10*$F307*$G307*$I307*$N307*$BL$11)</f>
        <v>889097.29272000003</v>
      </c>
      <c r="BM307" s="123"/>
      <c r="BN307" s="123">
        <f>(BM307/12*2*$E307*$G307*$H307*$M307*$BN$11)+(BM307/12*10*$F307*$G307*$I307*$M307*$BN$11)</f>
        <v>0</v>
      </c>
      <c r="BO307" s="123"/>
      <c r="BP307" s="123">
        <f>(BO307/12*2*$E307*$G307*$H307*$M307*$BP$11)+(BO307/12*10*$F307*$G307*$I307*$M307*$BP$12)</f>
        <v>0</v>
      </c>
      <c r="BQ307" s="123"/>
      <c r="BR307" s="123">
        <f>(BQ307/12*2*$E307*$G307*$H307*$M307*$BR$11)+(BQ307/12*10*$F307*$G307*$I307*$M307*$BR$11)</f>
        <v>0</v>
      </c>
      <c r="BS307" s="123">
        <v>15</v>
      </c>
      <c r="BT307" s="123">
        <f>(BS307/12*2*$E307*$G307*$H307*$N307*$BT$11)+(BS307/12*10*$F307*$G307*$I307*$N307*$BT$11)</f>
        <v>740914.41060000006</v>
      </c>
      <c r="BU307" s="123">
        <v>23</v>
      </c>
      <c r="BV307" s="126">
        <f>(BU307/12*2*$E307*$G307*$H307*$M307*$BV$11)+(BU307/12*10*$F307*$G307*$I307*$M307*$BV$11)</f>
        <v>757379.1752800002</v>
      </c>
      <c r="BW307" s="123"/>
      <c r="BX307" s="123">
        <f>(BW307/12*2*$E307*$G307*$H307*$M307*$BX$11)+(BW307/12*10*$F307*$G307*$I307*$M307*$BX$11)</f>
        <v>0</v>
      </c>
      <c r="BY307" s="123">
        <v>15</v>
      </c>
      <c r="BZ307" s="123">
        <f>(BY307/12*2*$E307*$G307*$H307*$M307*$BZ$11)+(BY307/12*10*$F307*$G307*$I307*$M307*$BZ$11)</f>
        <v>617428.67550000001</v>
      </c>
      <c r="CA307" s="123">
        <v>35</v>
      </c>
      <c r="CB307" s="123">
        <f>(CA307/12*2*$E307*$G307*$H307*$M307*$CB$11)+(CA307/12*10*$F307*$G307*$I307*$M307*$CB$11)</f>
        <v>1728800.2913999998</v>
      </c>
      <c r="CC307" s="123">
        <v>2</v>
      </c>
      <c r="CD307" s="123">
        <f>(CC307/12*2*$E307*$G307*$H307*$M307*$CD$11)+(CC307/12*10*$F307*$G307*$I307*$M307*$CD$11)</f>
        <v>82323.823400000008</v>
      </c>
      <c r="CE307" s="123"/>
      <c r="CF307" s="123">
        <f>(CE307/12*10*$F307*$G307*$I307*$N307*$CF$11)</f>
        <v>0</v>
      </c>
      <c r="CG307" s="132">
        <v>15</v>
      </c>
      <c r="CH307" s="123">
        <f>(CG307/12*2*$E307*$G307*$H307*$N307*$CH$11)+(CG307/12*10*$F307*$G307*$I307*$N307*$CH$11)</f>
        <v>666822.96954000008</v>
      </c>
      <c r="CI307" s="123"/>
      <c r="CJ307" s="127"/>
      <c r="CK307" s="123"/>
      <c r="CL307" s="123">
        <f>(CK307/12*2*$E307*$G307*$H307*$N307*$CL$11)+(CK307/12*10*$F307*$G307*$I307*$N307*$CL$12)</f>
        <v>0</v>
      </c>
      <c r="CM307" s="130">
        <v>2</v>
      </c>
      <c r="CN307" s="123">
        <f>(CM307/12*2*$E307*$G307*$H307*$N307*$CN$11)+(CM307/12*10*$F307*$G307*$I307*$N307*$CN$11)</f>
        <v>98788.588079999987</v>
      </c>
      <c r="CO307" s="123">
        <v>25</v>
      </c>
      <c r="CP307" s="123">
        <v>444938.31</v>
      </c>
      <c r="CQ307" s="123">
        <v>6</v>
      </c>
      <c r="CR307" s="123">
        <f>(CQ307/12*2*$E307*$G307*$H307*$O307*$CR$11)+(CQ307/12*10*$F307*$G307*$I307*$O307*$CR$11)</f>
        <v>393390.27039000002</v>
      </c>
      <c r="CS307" s="123">
        <v>5</v>
      </c>
      <c r="CT307" s="133">
        <f>(CS307/12*2*$E307*$G307*$H307*$P307*$CT$11)+(CS307/12*10*$F307*$G307*$I307*$P307*$CT$11)</f>
        <v>377807.54667500011</v>
      </c>
      <c r="CU307" s="127"/>
      <c r="CV307" s="123"/>
      <c r="CW307" s="126">
        <f t="shared" si="471"/>
        <v>984</v>
      </c>
      <c r="CX307" s="126">
        <f t="shared" si="471"/>
        <v>46077829.788154982</v>
      </c>
    </row>
    <row r="308" spans="1:102" ht="21.75" customHeight="1" x14ac:dyDescent="0.25">
      <c r="A308" s="91"/>
      <c r="B308" s="116">
        <v>243</v>
      </c>
      <c r="C308" s="117" t="s">
        <v>734</v>
      </c>
      <c r="D308" s="161" t="s">
        <v>735</v>
      </c>
      <c r="E308" s="95">
        <v>28004</v>
      </c>
      <c r="F308" s="96">
        <v>29405</v>
      </c>
      <c r="G308" s="119">
        <v>1.25</v>
      </c>
      <c r="H308" s="107">
        <v>1</v>
      </c>
      <c r="I308" s="108"/>
      <c r="J308" s="108"/>
      <c r="K308" s="108"/>
      <c r="L308" s="63"/>
      <c r="M308" s="120">
        <v>1.4</v>
      </c>
      <c r="N308" s="120">
        <v>1.68</v>
      </c>
      <c r="O308" s="120">
        <v>2.23</v>
      </c>
      <c r="P308" s="121">
        <v>2.57</v>
      </c>
      <c r="Q308" s="122"/>
      <c r="R308" s="123">
        <f>(Q308/12*2*$E308*$G308*$H308*$M308*$R$11)+(Q308/12*10*$F308*$G308*$H308*$M308*$R$11)</f>
        <v>0</v>
      </c>
      <c r="S308" s="124"/>
      <c r="T308" s="125">
        <f>(S308/12*2*$E308*$G308*$H308*$M308*$R$11)+(S308/12*10*$F308*$G308*$H308*$M308*$R$11)</f>
        <v>0</v>
      </c>
      <c r="U308" s="123">
        <v>39</v>
      </c>
      <c r="V308" s="123">
        <f>(U308/12*2*$E308*$G308*$H308*$M308*$V$11)+(U308/12*10*$F308*$G308*$H308*$M308*$V$12)</f>
        <v>2670268.1687500002</v>
      </c>
      <c r="W308" s="123"/>
      <c r="X308" s="126">
        <f>(W308/12*2*$E308*$G308*$H308*$M308*$X$11)+(W308/12*10*$F308*$G308*$H308*$M308*$X$12)</f>
        <v>0</v>
      </c>
      <c r="Y308" s="123"/>
      <c r="Z308" s="123">
        <f>(Y308/12*2*$E308*$G308*$H308*$M308*$Z$11)+(Y308/12*10*$F308*$G308*$H308*$M308*$Z$12)</f>
        <v>0</v>
      </c>
      <c r="AA308" s="123"/>
      <c r="AB308" s="123">
        <f>(AA308/12*2*$E308*$G308*$H308*$M308*$AB$11)+(AA308/12*10*$F308*$G308*$H308*$M308*$AB$11)</f>
        <v>0</v>
      </c>
      <c r="AC308" s="123"/>
      <c r="AD308" s="123"/>
      <c r="AE308" s="123"/>
      <c r="AF308" s="123">
        <f>(AE308/12*2*$E308*$G308*$H308*$M308*$AF$11)+(AE308/12*10*$F308*$G308*$H308*$M308*$AF$11)</f>
        <v>0</v>
      </c>
      <c r="AG308" s="135">
        <v>0</v>
      </c>
      <c r="AH308" s="136">
        <f>(AG308/12*2*$E308*$G308*$H308*$M308*$AH$11)+(AG308/12*10*$F308*$G308*$H308*$M308*$AH$11)</f>
        <v>0</v>
      </c>
      <c r="AI308" s="123"/>
      <c r="AJ308" s="123">
        <f>(AI308/12*2*$E308*$G308*$H308*$M308*$AJ$11)+(AI308/12*5*$F308*$G308*$H308*$M308*$AJ$12)+(AI308/12*5*$F308*$G308*$H308*$M308*$AJ$13)</f>
        <v>0</v>
      </c>
      <c r="AK308" s="123"/>
      <c r="AL308" s="123">
        <f>(AK308/12*2*$E308*$G308*$H308*$N308*$AL$11)+(AK308/12*5*$F308*$G308*$H308*$N308*$AL$12)++(AK308/12*5*$F308*$G308*$H308*$N308*$AL$13)</f>
        <v>0</v>
      </c>
      <c r="AM308" s="132"/>
      <c r="AN308" s="123">
        <f>(AM308/12*2*$E308*$G308*$H308*$N308*$AN$11)+(AM308/12*10*$F308*$G308*$H308*$N308*$AN$12)</f>
        <v>0</v>
      </c>
      <c r="AO308" s="130">
        <v>1</v>
      </c>
      <c r="AP308" s="127">
        <f>(AO308/12*2*$E308*$G308*$H308*$N308*$AP$11)+(AO308/12*10*$F308*$G308*$H308*$N308*$AP$11)</f>
        <v>67386.164999999994</v>
      </c>
      <c r="AQ308" s="127">
        <v>4</v>
      </c>
      <c r="AR308" s="127">
        <v>268465.89</v>
      </c>
      <c r="AS308" s="123"/>
      <c r="AT308" s="123">
        <f>(AS308/12*2*$E308*$G308*$H308*$M308*$AT$11)+(AS308/12*10*$F308*$G308*$H308*$M308*$AT$11)</f>
        <v>0</v>
      </c>
      <c r="AU308" s="123"/>
      <c r="AV308" s="126">
        <f>(AU308/12*2*$E308*$G308*$H308*$M308*$AV$11)+(AU308/12*10*$F308*$G308*$H308*$M308*$AV$12)</f>
        <v>0</v>
      </c>
      <c r="AW308" s="123">
        <v>10</v>
      </c>
      <c r="AX308" s="123">
        <f>(AW308/12*2*$E308*$G308*$H308*$M308*$AX$11)+(AW308/12*10*$F308*$G308*$H308*$M308*$AX$12)</f>
        <v>586872.125</v>
      </c>
      <c r="AY308" s="131">
        <v>24</v>
      </c>
      <c r="AZ308" s="123">
        <f>(AY308/12*2*$E308*$G308*$H308*$N308*$AZ$11)+(AY308/12*10*$F308*$G308*$H308*$N308*$AZ$11)</f>
        <v>1617267.96</v>
      </c>
      <c r="BA308" s="123">
        <v>20</v>
      </c>
      <c r="BB308" s="123">
        <f>(BA308/12*2*$E308*$G308*$H308*$N308*$BB$11)+(BA308/12*10*$F308*$G308*$H308*$N308*$BB$12)</f>
        <v>1184036</v>
      </c>
      <c r="BC308" s="123"/>
      <c r="BD308" s="126">
        <f>(BC308/12*2*$E308*$G308*$H308*$N308*$BD$11)+(BC308/12*10*$F308*$G308*$H308*$N308*$BD$12)</f>
        <v>0</v>
      </c>
      <c r="BE308" s="123">
        <v>3</v>
      </c>
      <c r="BF308" s="123">
        <f>(BE308/12*10*$F308*$G308*$H308*$N308*$BF$12)</f>
        <v>154376.25</v>
      </c>
      <c r="BG308" s="123"/>
      <c r="BH308" s="123">
        <f>(BG308/12*2*$E308*$G308*$H308*$N308*$BH$11)+(BG308/12*10*$F308*$G308*$H308*$N308*$BH$11)</f>
        <v>0</v>
      </c>
      <c r="BI308" s="123">
        <v>6</v>
      </c>
      <c r="BJ308" s="126">
        <f>(BI308/12*2*$E308*$G308*$H308*$N308*$BJ$11)+(BI308/12*10*$F308*$G308*$H308*$N308*$BJ$11)</f>
        <v>441073.08</v>
      </c>
      <c r="BK308" s="123">
        <v>11</v>
      </c>
      <c r="BL308" s="127">
        <f>(BK308/12*2*$E308*$G308*$H308*$N308*$BL$11)+(BK308/12*10*$F308*$G308*$H308*$N308*$BL$11)</f>
        <v>808633.97999999986</v>
      </c>
      <c r="BM308" s="123">
        <v>300</v>
      </c>
      <c r="BN308" s="123">
        <f>(BM308/12*2*$E308*$G308*$H308*$M308*$BN$11)+(BM308/12*10*$F308*$G308*$H308*$M308*$BN$11)</f>
        <v>15315037.5</v>
      </c>
      <c r="BO308" s="123">
        <v>61</v>
      </c>
      <c r="BP308" s="123">
        <f>(BO308/12*2*$E308*$G308*$H308*$M308*$BP$11)+(BO308/12*10*$F308*$G308*$H308*$M308*$BP$12)</f>
        <v>2852475.645833333</v>
      </c>
      <c r="BQ308" s="123"/>
      <c r="BR308" s="123">
        <f>(BQ308/12*2*$E308*$G308*$H308*$M308*$BR$11)+(BQ308/12*10*$F308*$G308*$H308*$M308*$BR$11)</f>
        <v>0</v>
      </c>
      <c r="BS308" s="123">
        <v>4</v>
      </c>
      <c r="BT308" s="123">
        <f>(BS308/12*2*$E308*$G308*$H308*$N308*$BT$11)+(BS308/12*10*$F308*$G308*$H308*$N308*$BT$11)</f>
        <v>245040.59999999998</v>
      </c>
      <c r="BU308" s="123"/>
      <c r="BV308" s="126">
        <f>(BU308/12*2*$E308*$G308*$H308*$M308*$BV$11)+(BU308/12*10*$F308*$G308*$H308*$M308*$BV$11)</f>
        <v>0</v>
      </c>
      <c r="BW308" s="123"/>
      <c r="BX308" s="123">
        <f>(BW308/12*2*$E308*$G308*$H308*$M308*$BX$11)+(BW308/12*10*$F308*$G308*$H308*$M308*$BX$11)</f>
        <v>0</v>
      </c>
      <c r="BY308" s="123">
        <v>8</v>
      </c>
      <c r="BZ308" s="123">
        <f>(BY308/12*2*$E308*$G308*$H308*$M308*$BZ$11)+(BY308/12*10*$F308*$G308*$H308*$M308*$BZ$11)</f>
        <v>408400.99999999988</v>
      </c>
      <c r="CA308" s="123">
        <v>157</v>
      </c>
      <c r="CB308" s="123">
        <f>(CA308/12*2*$E308*$G308*$H308*$M308*$CB$11)+(CA308/12*10*$F308*$G308*$H308*$M308*$CB$11)</f>
        <v>9617843.5500000007</v>
      </c>
      <c r="CC308" s="123">
        <v>5</v>
      </c>
      <c r="CD308" s="123">
        <f>(CC308/12*2*$E308*$G308*$H308*$M308*$CD$11)+(CC308/12*10*$F308*$G308*$H308*$M308*$CD$11)</f>
        <v>255250.625</v>
      </c>
      <c r="CE308" s="123">
        <v>14</v>
      </c>
      <c r="CF308" s="123">
        <f>(CE308/12*10*$F308*$G308*$H308*$N308*$CF$11)</f>
        <v>720422.50000000012</v>
      </c>
      <c r="CG308" s="132"/>
      <c r="CH308" s="123">
        <f>(CG308/12*2*$E308*$G308*$H308*$N308*$CH$11)+(CG308/12*10*$F308*$G308*$H308*$N308*$CH$11)</f>
        <v>0</v>
      </c>
      <c r="CI308" s="123"/>
      <c r="CJ308" s="127">
        <f t="shared" si="469"/>
        <v>0</v>
      </c>
      <c r="CK308" s="123"/>
      <c r="CL308" s="123">
        <f>(CK308/12*2*$E308*$G308*$H308*$N308*$CL$11)+(CK308/12*10*$F308*$G308*$H308*$N308*$CL$12)</f>
        <v>0</v>
      </c>
      <c r="CM308" s="130"/>
      <c r="CN308" s="123">
        <f>(CM308/12*2*$E308*$G308*$H308*$N308*$CN$11)+(CM308/12*10*$F308*$G308*$H308*$N308*$CN$11)</f>
        <v>0</v>
      </c>
      <c r="CO308" s="123"/>
      <c r="CP308" s="123">
        <f>(CO308/12*2*$E308*$G308*$H308*$N308*$CP$11)+(CO308/12*10*$F308*$G308*$H308*$N308*$CP$11)</f>
        <v>0</v>
      </c>
      <c r="CQ308" s="123"/>
      <c r="CR308" s="123">
        <f>(CQ308/12*2*$E308*$G308*$H308*$O308*$CR$11)+(CQ308/12*10*$F308*$G308*$H308*$O308*$CR$11)</f>
        <v>0</v>
      </c>
      <c r="CS308" s="123">
        <v>5</v>
      </c>
      <c r="CT308" s="133">
        <f>(CS308/12*2*$E308*$G308*$H308*$P308*$CT$11)+(CS308/12*10*$F308*$G308*$H308*$P308*$CT$11)</f>
        <v>468567.21875000006</v>
      </c>
      <c r="CU308" s="127"/>
      <c r="CV308" s="123">
        <f t="shared" si="470"/>
        <v>0</v>
      </c>
      <c r="CW308" s="126">
        <f t="shared" si="471"/>
        <v>672</v>
      </c>
      <c r="CX308" s="126">
        <f t="shared" si="471"/>
        <v>37681418.258333333</v>
      </c>
    </row>
    <row r="309" spans="1:102" ht="15.75" customHeight="1" x14ac:dyDescent="0.25">
      <c r="A309" s="109">
        <v>24</v>
      </c>
      <c r="B309" s="150"/>
      <c r="C309" s="93" t="s">
        <v>736</v>
      </c>
      <c r="D309" s="164" t="s">
        <v>737</v>
      </c>
      <c r="E309" s="95">
        <v>28004</v>
      </c>
      <c r="F309" s="96">
        <v>29405</v>
      </c>
      <c r="G309" s="151">
        <v>1.44</v>
      </c>
      <c r="H309" s="112"/>
      <c r="I309" s="120"/>
      <c r="J309" s="120"/>
      <c r="K309" s="120"/>
      <c r="L309" s="111"/>
      <c r="M309" s="112">
        <v>1.4</v>
      </c>
      <c r="N309" s="112">
        <v>1.68</v>
      </c>
      <c r="O309" s="112">
        <v>2.23</v>
      </c>
      <c r="P309" s="113">
        <v>2.57</v>
      </c>
      <c r="Q309" s="103">
        <f>SUM(Q310:Q313)</f>
        <v>446</v>
      </c>
      <c r="R309" s="104">
        <f>SUM(R310:R313)</f>
        <v>29665483.859293334</v>
      </c>
      <c r="S309" s="114">
        <f t="shared" ref="S309:CD309" si="474">SUM(S310:S313)</f>
        <v>5</v>
      </c>
      <c r="T309" s="115">
        <f t="shared" si="474"/>
        <v>337444.70195333334</v>
      </c>
      <c r="U309" s="104">
        <f t="shared" si="474"/>
        <v>49</v>
      </c>
      <c r="V309" s="104">
        <f t="shared" si="474"/>
        <v>4101186.7353974995</v>
      </c>
      <c r="W309" s="104">
        <f t="shared" si="474"/>
        <v>0</v>
      </c>
      <c r="X309" s="104">
        <f t="shared" si="474"/>
        <v>0</v>
      </c>
      <c r="Y309" s="104">
        <f t="shared" si="474"/>
        <v>0</v>
      </c>
      <c r="Z309" s="104">
        <f t="shared" si="474"/>
        <v>0</v>
      </c>
      <c r="AA309" s="104">
        <f t="shared" si="474"/>
        <v>0</v>
      </c>
      <c r="AB309" s="104">
        <f t="shared" si="474"/>
        <v>0</v>
      </c>
      <c r="AC309" s="104">
        <f t="shared" si="474"/>
        <v>0</v>
      </c>
      <c r="AD309" s="104">
        <f t="shared" si="474"/>
        <v>0</v>
      </c>
      <c r="AE309" s="104">
        <f t="shared" si="474"/>
        <v>26</v>
      </c>
      <c r="AF309" s="105">
        <f t="shared" si="474"/>
        <v>1673618.6099966667</v>
      </c>
      <c r="AG309" s="104">
        <f t="shared" si="474"/>
        <v>18</v>
      </c>
      <c r="AH309" s="104">
        <f t="shared" si="474"/>
        <v>1160775.9714833335</v>
      </c>
      <c r="AI309" s="106">
        <f t="shared" si="474"/>
        <v>11</v>
      </c>
      <c r="AJ309" s="104">
        <f t="shared" si="474"/>
        <v>623588.25396000012</v>
      </c>
      <c r="AK309" s="104">
        <f t="shared" si="474"/>
        <v>0</v>
      </c>
      <c r="AL309" s="104">
        <f t="shared" si="474"/>
        <v>0</v>
      </c>
      <c r="AM309" s="104">
        <f t="shared" si="474"/>
        <v>0</v>
      </c>
      <c r="AN309" s="104">
        <f t="shared" si="474"/>
        <v>0</v>
      </c>
      <c r="AO309" s="106">
        <f t="shared" si="474"/>
        <v>1</v>
      </c>
      <c r="AP309" s="104">
        <f t="shared" si="474"/>
        <v>46900.770839999997</v>
      </c>
      <c r="AQ309" s="104">
        <v>0</v>
      </c>
      <c r="AR309" s="104">
        <v>0</v>
      </c>
      <c r="AS309" s="104">
        <f t="shared" si="474"/>
        <v>0</v>
      </c>
      <c r="AT309" s="104">
        <f t="shared" si="474"/>
        <v>0</v>
      </c>
      <c r="AU309" s="104">
        <f t="shared" si="474"/>
        <v>0</v>
      </c>
      <c r="AV309" s="104">
        <f t="shared" si="474"/>
        <v>0</v>
      </c>
      <c r="AW309" s="104">
        <f t="shared" si="474"/>
        <v>7</v>
      </c>
      <c r="AX309" s="104">
        <f t="shared" si="474"/>
        <v>471099.52424499998</v>
      </c>
      <c r="AY309" s="104">
        <f t="shared" si="474"/>
        <v>61</v>
      </c>
      <c r="AZ309" s="104">
        <f t="shared" si="474"/>
        <v>4245103.4096240001</v>
      </c>
      <c r="BA309" s="104">
        <f t="shared" si="474"/>
        <v>22</v>
      </c>
      <c r="BB309" s="104">
        <f t="shared" si="474"/>
        <v>1493454.5471999997</v>
      </c>
      <c r="BC309" s="104">
        <f t="shared" si="474"/>
        <v>0</v>
      </c>
      <c r="BD309" s="104">
        <f t="shared" si="474"/>
        <v>0</v>
      </c>
      <c r="BE309" s="104">
        <f t="shared" si="474"/>
        <v>11</v>
      </c>
      <c r="BF309" s="104">
        <f t="shared" si="474"/>
        <v>642802.12149999989</v>
      </c>
      <c r="BG309" s="104">
        <f t="shared" si="474"/>
        <v>11</v>
      </c>
      <c r="BH309" s="104">
        <f t="shared" si="474"/>
        <v>707293.20198600006</v>
      </c>
      <c r="BI309" s="104">
        <f t="shared" si="474"/>
        <v>18</v>
      </c>
      <c r="BJ309" s="104">
        <f t="shared" si="474"/>
        <v>1478730.806784</v>
      </c>
      <c r="BK309" s="104">
        <f t="shared" si="474"/>
        <v>20</v>
      </c>
      <c r="BL309" s="104">
        <f t="shared" si="474"/>
        <v>1685322.2366400003</v>
      </c>
      <c r="BM309" s="104">
        <f t="shared" si="474"/>
        <v>0</v>
      </c>
      <c r="BN309" s="104">
        <f t="shared" si="474"/>
        <v>0</v>
      </c>
      <c r="BO309" s="104">
        <f t="shared" si="474"/>
        <v>35</v>
      </c>
      <c r="BP309" s="104">
        <f t="shared" si="474"/>
        <v>1877694.7061249998</v>
      </c>
      <c r="BQ309" s="104">
        <f t="shared" si="474"/>
        <v>0</v>
      </c>
      <c r="BR309" s="104">
        <f t="shared" si="474"/>
        <v>0</v>
      </c>
      <c r="BS309" s="104">
        <f t="shared" si="474"/>
        <v>9</v>
      </c>
      <c r="BT309" s="104">
        <f t="shared" si="474"/>
        <v>576826.44782</v>
      </c>
      <c r="BU309" s="104">
        <f t="shared" si="474"/>
        <v>5</v>
      </c>
      <c r="BV309" s="104">
        <f t="shared" si="474"/>
        <v>234072.5328666667</v>
      </c>
      <c r="BW309" s="104">
        <f t="shared" si="474"/>
        <v>2</v>
      </c>
      <c r="BX309" s="104">
        <f t="shared" si="474"/>
        <v>93629.01314666665</v>
      </c>
      <c r="BY309" s="104">
        <f t="shared" si="474"/>
        <v>5</v>
      </c>
      <c r="BZ309" s="104">
        <f t="shared" si="474"/>
        <v>292590.66608333337</v>
      </c>
      <c r="CA309" s="104">
        <f t="shared" si="474"/>
        <v>69</v>
      </c>
      <c r="CB309" s="104">
        <f t="shared" si="474"/>
        <v>4845301.4303399995</v>
      </c>
      <c r="CC309" s="104">
        <f t="shared" si="474"/>
        <v>20</v>
      </c>
      <c r="CD309" s="104">
        <f t="shared" si="474"/>
        <v>1170362.6643333335</v>
      </c>
      <c r="CE309" s="104">
        <f t="shared" ref="CE309:CX309" si="475">SUM(CE310:CE313)</f>
        <v>0</v>
      </c>
      <c r="CF309" s="104">
        <f t="shared" si="475"/>
        <v>0</v>
      </c>
      <c r="CG309" s="104">
        <f t="shared" si="475"/>
        <v>189</v>
      </c>
      <c r="CH309" s="104">
        <f t="shared" si="475"/>
        <v>12465309.780629998</v>
      </c>
      <c r="CI309" s="104">
        <f t="shared" si="475"/>
        <v>0</v>
      </c>
      <c r="CJ309" s="104">
        <f t="shared" si="475"/>
        <v>0</v>
      </c>
      <c r="CK309" s="104">
        <f t="shared" si="475"/>
        <v>0</v>
      </c>
      <c r="CL309" s="104">
        <f t="shared" si="475"/>
        <v>0</v>
      </c>
      <c r="CM309" s="104">
        <f t="shared" si="475"/>
        <v>1</v>
      </c>
      <c r="CN309" s="104">
        <f t="shared" si="475"/>
        <v>70221.759859999991</v>
      </c>
      <c r="CO309" s="104">
        <f t="shared" si="475"/>
        <v>25</v>
      </c>
      <c r="CP309" s="104">
        <f t="shared" si="475"/>
        <v>141422.44</v>
      </c>
      <c r="CQ309" s="104">
        <f t="shared" si="475"/>
        <v>10</v>
      </c>
      <c r="CR309" s="104">
        <f t="shared" si="475"/>
        <v>932110.26480833348</v>
      </c>
      <c r="CS309" s="104">
        <f t="shared" si="475"/>
        <v>4</v>
      </c>
      <c r="CT309" s="104">
        <f t="shared" si="475"/>
        <v>387492.27620749996</v>
      </c>
      <c r="CU309" s="104">
        <f t="shared" si="475"/>
        <v>0</v>
      </c>
      <c r="CV309" s="104">
        <f t="shared" si="475"/>
        <v>0</v>
      </c>
      <c r="CW309" s="104">
        <f t="shared" si="475"/>
        <v>1080</v>
      </c>
      <c r="CX309" s="104">
        <f t="shared" si="475"/>
        <v>71419838.733123988</v>
      </c>
    </row>
    <row r="310" spans="1:102" ht="30" x14ac:dyDescent="0.25">
      <c r="A310" s="91"/>
      <c r="B310" s="116">
        <v>244</v>
      </c>
      <c r="C310" s="117" t="s">
        <v>738</v>
      </c>
      <c r="D310" s="161" t="s">
        <v>739</v>
      </c>
      <c r="E310" s="95">
        <v>28004</v>
      </c>
      <c r="F310" s="96">
        <v>29405</v>
      </c>
      <c r="G310" s="119">
        <v>1.78</v>
      </c>
      <c r="H310" s="107">
        <v>1</v>
      </c>
      <c r="I310" s="203"/>
      <c r="J310" s="203"/>
      <c r="K310" s="203"/>
      <c r="L310" s="63"/>
      <c r="M310" s="120">
        <v>1.4</v>
      </c>
      <c r="N310" s="120">
        <v>1.68</v>
      </c>
      <c r="O310" s="120">
        <v>2.23</v>
      </c>
      <c r="P310" s="121">
        <v>2.57</v>
      </c>
      <c r="Q310" s="122">
        <v>80</v>
      </c>
      <c r="R310" s="123">
        <f>(Q310/12*2*$E310*$G310*$H310*$M310*$R$11)+(Q310/12*10*$F310*$G310*$H310*$M310*$R$11)</f>
        <v>6397193.2640000014</v>
      </c>
      <c r="S310" s="124">
        <v>1</v>
      </c>
      <c r="T310" s="125">
        <f>(S310/12*2*$E310*$G310*$H310*$M310*$R$11)+(S310/12*10*$F310*$G310*$H310*$M310*$R$11)</f>
        <v>79964.915799999988</v>
      </c>
      <c r="U310" s="123">
        <v>15</v>
      </c>
      <c r="V310" s="123">
        <f>(U310/12*2*$E310*$G310*$H310*$M310*$V$11)+(U310/12*10*$F310*$G310*$H310*$M310*$V$12)</f>
        <v>1462485.3355</v>
      </c>
      <c r="W310" s="123"/>
      <c r="X310" s="126">
        <f>(W310/12*2*$E310*$G310*$H310*$M310*$X$11)+(W310/12*10*$F310*$G310*$H310*$M310*$X$12)</f>
        <v>0</v>
      </c>
      <c r="Y310" s="123"/>
      <c r="Z310" s="123">
        <f>(Y310/12*2*$E310*$G310*$H310*$M310*$Z$11)+(Y310/12*10*$F310*$G310*$H310*$M310*$Z$12)</f>
        <v>0</v>
      </c>
      <c r="AA310" s="123"/>
      <c r="AB310" s="123">
        <f>(AA310/12*2*$E310*$G310*$H310*$M310*$AB$11)+(AA310/12*10*$F310*$G310*$H310*$M310*$AB$11)</f>
        <v>0</v>
      </c>
      <c r="AC310" s="123"/>
      <c r="AD310" s="123"/>
      <c r="AE310" s="123"/>
      <c r="AF310" s="127">
        <f>(AE310/12*2*$E310*$G310*$H310*$M310*$AF$11)+(AE310/12*10*$F310*$G310*$H310*$M310*$AF$11)</f>
        <v>0</v>
      </c>
      <c r="AG310" s="123">
        <v>5</v>
      </c>
      <c r="AH310" s="126">
        <f>(AG310/12*2*$E310*$G310*$H310*$M310*$AH$11)+(AG310/12*10*$F310*$G310*$H310*$M310*$AH$11)</f>
        <v>399824.57900000009</v>
      </c>
      <c r="AI310" s="130"/>
      <c r="AJ310" s="123">
        <f>(AI310/12*2*$E310*$G310*$H310*$M310*$AJ$11)+(AI310/12*5*$F310*$G310*$H310*$M310*$AJ$12)+(AI310/12*5*$F310*$G310*$H310*$M310*$AJ$13)</f>
        <v>0</v>
      </c>
      <c r="AK310" s="123"/>
      <c r="AL310" s="123">
        <f>(AK310/12*2*$E310*$G310*$H310*$N310*$AL$11)+(AK310/12*5*$F310*$G310*$H310*$N310*$AL$12)++(AK310/12*5*$F310*$G310*$H310*$N310*$AL$13)</f>
        <v>0</v>
      </c>
      <c r="AM310" s="132"/>
      <c r="AN310" s="123">
        <f>(AM310/12*2*$E310*$G310*$H310*$N310*$AN$11)+(AM310/12*10*$F310*$G310*$H310*$N310*$AN$12)</f>
        <v>0</v>
      </c>
      <c r="AO310" s="130">
        <v>0</v>
      </c>
      <c r="AP310" s="127">
        <f>(AO310/12*2*$E310*$G310*$H310*$N310*$AP$11)+(AO310/12*10*$F310*$G310*$H310*$N310*$AP$11)</f>
        <v>0</v>
      </c>
      <c r="AQ310" s="127">
        <v>0</v>
      </c>
      <c r="AR310" s="127">
        <v>0</v>
      </c>
      <c r="AS310" s="123"/>
      <c r="AT310" s="123">
        <f>(AS310/12*2*$E310*$G310*$H310*$M310*$AT$11)+(AS310/12*10*$F310*$G310*$H310*$M310*$AT$11)</f>
        <v>0</v>
      </c>
      <c r="AU310" s="123"/>
      <c r="AV310" s="126">
        <f>(AU310/12*2*$E310*$G310*$H310*$M310*$AV$11)+(AU310/12*10*$F310*$G310*$H310*$M310*$AV$12)</f>
        <v>0</v>
      </c>
      <c r="AW310" s="123"/>
      <c r="AX310" s="123">
        <f>(AW310/12*2*$E310*$G310*$H310*$M310*$AX$11)+(AW310/12*10*$F310*$G310*$H310*$M310*$AX$12)</f>
        <v>0</v>
      </c>
      <c r="AY310" s="131">
        <v>1</v>
      </c>
      <c r="AZ310" s="123">
        <f>(AY310/12*2*$E310*$G310*$H310*$N310*$AZ$11)+(AY310/12*10*$F310*$G310*$H310*$N310*$AZ$11)</f>
        <v>95957.898960000006</v>
      </c>
      <c r="BA310" s="123"/>
      <c r="BB310" s="123">
        <f>(BA310/12*2*$E310*$G310*$H310*$N310*$BB$11)+(BA310/12*10*$F310*$G310*$H310*$N310*$BB$12)</f>
        <v>0</v>
      </c>
      <c r="BC310" s="123"/>
      <c r="BD310" s="126">
        <f>(BC310/12*2*$E310*$G310*$H310*$N310*$BD$11)+(BC310/12*10*$F310*$G310*$H310*$N310*$BD$12)</f>
        <v>0</v>
      </c>
      <c r="BE310" s="123"/>
      <c r="BF310" s="123">
        <f>(BE310/12*10*$F310*$G310*$H310*$N310*$BF$12)</f>
        <v>0</v>
      </c>
      <c r="BG310" s="123"/>
      <c r="BH310" s="123">
        <f>(BG310/12*2*$E310*$G310*$H310*$N310*$BH$11)+(BG310/12*10*$F310*$G310*$H310*$N310*$BH$11)</f>
        <v>0</v>
      </c>
      <c r="BI310" s="123">
        <v>3</v>
      </c>
      <c r="BJ310" s="126">
        <f>(BI310/12*2*$E310*$G310*$H310*$N310*$BJ$11)+(BI310/12*10*$F310*$G310*$H310*$N310*$BJ$11)</f>
        <v>314044.03295999998</v>
      </c>
      <c r="BK310" s="123"/>
      <c r="BL310" s="127">
        <f>(BK310/12*2*$E310*$G310*$H310*$N310*$BL$11)+(BK310/12*10*$F310*$G310*$H310*$N310*$BL$11)</f>
        <v>0</v>
      </c>
      <c r="BM310" s="123"/>
      <c r="BN310" s="123">
        <f>(BM310/12*2*$E310*$G310*$H310*$M310*$BN$11)+(BM310/12*10*$F310*$G310*$H310*$M310*$BN$11)</f>
        <v>0</v>
      </c>
      <c r="BO310" s="123"/>
      <c r="BP310" s="123">
        <f>(BO310/12*2*$E310*$G310*$H310*$M310*$BP$11)+(BO310/12*10*$F310*$G310*$H310*$M310*$BP$12)</f>
        <v>0</v>
      </c>
      <c r="BQ310" s="123"/>
      <c r="BR310" s="123">
        <f>(BQ310/12*2*$E310*$G310*$H310*$M310*$BR$11)+(BQ310/12*10*$F310*$G310*$H310*$M310*$BR$11)</f>
        <v>0</v>
      </c>
      <c r="BS310" s="123"/>
      <c r="BT310" s="123">
        <f>(BS310/12*2*$E310*$G310*$H310*$N310*$BT$11)+(BS310/12*10*$F310*$G310*$H310*$N310*$BT$11)</f>
        <v>0</v>
      </c>
      <c r="BU310" s="123"/>
      <c r="BV310" s="126">
        <f>(BU310/12*2*$E310*$G310*$H310*$M310*$BV$11)+(BU310/12*10*$F310*$G310*$H310*$M310*$BV$11)</f>
        <v>0</v>
      </c>
      <c r="BW310" s="123"/>
      <c r="BX310" s="123">
        <f>(BW310/12*2*$E310*$G310*$H310*$M310*$BX$11)+(BW310/12*10*$F310*$G310*$H310*$M310*$BX$11)</f>
        <v>0</v>
      </c>
      <c r="BY310" s="123"/>
      <c r="BZ310" s="123">
        <f>(BY310/12*2*$E310*$G310*$H310*$M310*$BZ$11)+(BY310/12*10*$F310*$G310*$H310*$M310*$BZ$11)</f>
        <v>0</v>
      </c>
      <c r="CA310" s="123"/>
      <c r="CB310" s="123">
        <f>(CA310/12*2*$E310*$G310*$H310*$M310*$CB$11)+(CA310/12*10*$F310*$G310*$H310*$M310*$CB$11)</f>
        <v>0</v>
      </c>
      <c r="CC310" s="123"/>
      <c r="CD310" s="123">
        <f>(CC310/12*2*$E310*$G310*$H310*$M310*$CD$11)+(CC310/12*10*$F310*$G310*$H310*$M310*$CD$11)</f>
        <v>0</v>
      </c>
      <c r="CE310" s="123"/>
      <c r="CF310" s="123">
        <f>(CE310/12*10*$F310*$G310*$H310*$N310*$CF$11)</f>
        <v>0</v>
      </c>
      <c r="CG310" s="132">
        <v>34</v>
      </c>
      <c r="CH310" s="123">
        <f>(CG310/12*2*$E310*$G310*$H310*$N310*$CH$11)+(CG310/12*10*$F310*$G310*$H310*$N310*$CH$11)</f>
        <v>2669374.2801600001</v>
      </c>
      <c r="CI310" s="123"/>
      <c r="CJ310" s="127">
        <f>(CI310*$E310*$G310*$H310*$N310*CJ$11)</f>
        <v>0</v>
      </c>
      <c r="CK310" s="123"/>
      <c r="CL310" s="123">
        <f>(CK310/12*2*$E310*$G310*$H310*$N310*$CL$11)+(CK310/12*10*$F310*$G310*$H310*$N310*$CL$12)</f>
        <v>0</v>
      </c>
      <c r="CM310" s="130"/>
      <c r="CN310" s="123">
        <f>(CM310/12*2*$E310*$G310*$H310*$N310*$CN$11)+(CM310/12*10*$F310*$G310*$H310*$N310*$CN$11)</f>
        <v>0</v>
      </c>
      <c r="CO310" s="123"/>
      <c r="CP310" s="123">
        <f>(CO310/12*2*$E310*$G310*$H310*$N310*$CP$11)+(CO310/12*10*$F310*$G310*$H310*$N310*$CP$11)</f>
        <v>0</v>
      </c>
      <c r="CQ310" s="123"/>
      <c r="CR310" s="123">
        <f>(CQ310/12*2*$E310*$G310*$H310*$O310*$CR$11)+(CQ310/12*10*$F310*$G310*$H310*$O310*$CR$11)</f>
        <v>0</v>
      </c>
      <c r="CS310" s="123"/>
      <c r="CT310" s="133">
        <f>(CS310/12*2*$E310*$G310*$H310*$P310*$CT$11)+(CS310/12*10*$F310*$G310*$H310*$P310*$CT$11)</f>
        <v>0</v>
      </c>
      <c r="CU310" s="127"/>
      <c r="CV310" s="123">
        <f>(CU310*$E310*$G310*$H310*$M310*CV$11)/12*6+(CU310*$E310*$G310*$H310*1*CV$11)/12*6</f>
        <v>0</v>
      </c>
      <c r="CW310" s="126">
        <f t="shared" ref="CW310:CX313" si="476">SUM(Q310,S310,U310,W310,Y310,AA310,AC310,AE310,AG310,AM310,BQ310,AI310,AU310,CC310,AW310,AY310,AK310,BC310,AO310,AQ310,BE310,CE310,BG310,BI310,BK310,BS310,BM310,BO310,BU310,BW310,BY310,CA310,CG310,BA310,AS310,CI310,CK310,CM310,CO310,CQ310,CS310,CU310)</f>
        <v>139</v>
      </c>
      <c r="CX310" s="126">
        <f t="shared" si="476"/>
        <v>11418844.306380002</v>
      </c>
    </row>
    <row r="311" spans="1:102" s="6" customFormat="1" ht="18.75" x14ac:dyDescent="0.25">
      <c r="A311" s="91"/>
      <c r="B311" s="116">
        <v>245</v>
      </c>
      <c r="C311" s="117" t="s">
        <v>740</v>
      </c>
      <c r="D311" s="161" t="s">
        <v>741</v>
      </c>
      <c r="E311" s="95">
        <v>28004</v>
      </c>
      <c r="F311" s="96">
        <v>29405</v>
      </c>
      <c r="G311" s="119">
        <v>1.67</v>
      </c>
      <c r="H311" s="110">
        <v>0.9</v>
      </c>
      <c r="I311" s="110">
        <v>0.85</v>
      </c>
      <c r="J311" s="108"/>
      <c r="K311" s="108"/>
      <c r="L311" s="63"/>
      <c r="M311" s="120">
        <v>1.4</v>
      </c>
      <c r="N311" s="120">
        <v>1.68</v>
      </c>
      <c r="O311" s="120">
        <v>2.23</v>
      </c>
      <c r="P311" s="121">
        <v>2.57</v>
      </c>
      <c r="Q311" s="122">
        <v>352</v>
      </c>
      <c r="R311" s="123">
        <f>(Q311/12*2*$E311*$G311*$H311*$M311*$R$11)+(Q311/12*10*$F311*$G311*$I311*$M311*$R$11)</f>
        <v>22658221.181493331</v>
      </c>
      <c r="S311" s="124">
        <v>4</v>
      </c>
      <c r="T311" s="125">
        <f>(S311/12*2*$E311*$G311*$H311*$M311*$R$11)+(S311/12*10*$F311*$G311*$I311*$M311*$R$11)</f>
        <v>257479.78615333332</v>
      </c>
      <c r="U311" s="123">
        <v>33</v>
      </c>
      <c r="V311" s="123">
        <f>(U311/12*2*$E311*$G311*$H311*$M311*$V$11)+(U311/12*10*$F311*$G311*$I311*$M311*$V$12)</f>
        <v>2591047.3833474996</v>
      </c>
      <c r="W311" s="123"/>
      <c r="X311" s="126">
        <f>(W311/12*2*$E311*$G311*$H311*$M311*$X$11)+(W311/12*10*$F311*$G311*$I311*$M311*$X$12)</f>
        <v>0</v>
      </c>
      <c r="Y311" s="123"/>
      <c r="Z311" s="123">
        <f>(Y311/12*2*$E311*$G311*$H311*$M311*$Z$11)+(Y311/12*10*$F311*$G311*$I311*$M311*$Z$12)</f>
        <v>0</v>
      </c>
      <c r="AA311" s="123"/>
      <c r="AB311" s="123">
        <f>(AA311/12*2*$E311*$G311*$H311*$M311*$AB$11)+(AA311/12*10*$F311*$G311*$I311*$M311*$AB$11)</f>
        <v>0</v>
      </c>
      <c r="AC311" s="123"/>
      <c r="AD311" s="123"/>
      <c r="AE311" s="123">
        <f>25+1</f>
        <v>26</v>
      </c>
      <c r="AF311" s="127">
        <f>(AE311/12*2*$E311*$G311*$H311*$M311*$AF$11)+(AE311/12*10*$F311*$G311*$I311*$M311*$AF$11)</f>
        <v>1673618.6099966667</v>
      </c>
      <c r="AG311" s="123">
        <v>10</v>
      </c>
      <c r="AH311" s="126">
        <f>(AG311/12*2*$E311*$G311*$H311*$M311*$AH$11)+(AG311/12*10*$F311*$G311*$I311*$M311*$AH$11)</f>
        <v>643699.46538333339</v>
      </c>
      <c r="AI311" s="130">
        <v>4</v>
      </c>
      <c r="AJ311" s="123">
        <f>(AI311/12*2*$E311*$G311*$H311*$M311*$AJ$11)+(AI311/12*5*$F311*$G311*$I311*$M311*$AJ$12)+(AI311/12*5*$F311*$G311*$I311*$M311*$AJ$13)</f>
        <v>302346.40750999999</v>
      </c>
      <c r="AK311" s="123"/>
      <c r="AL311" s="123">
        <f>(AK311/12*2*$E311*$G311*$H311*$N311*$AL$11)+(AK311/12*5*$F311*$G311*$I311*$N311*$AL$12)+(AK311/12*5*$F311*$G311*$I311*$N311*$AL$13)</f>
        <v>0</v>
      </c>
      <c r="AM311" s="132"/>
      <c r="AN311" s="123">
        <f>(AM311/12*2*$E311*$G311*$H311*$N311*$AN$11)+(AM311/12*10*$F311*$G311*$I311*$N311*$AN$12)</f>
        <v>0</v>
      </c>
      <c r="AO311" s="130"/>
      <c r="AP311" s="127">
        <f>(AO311/12*2*$E311*$G311*$H311*$N311*$AP$11)+(AO311/12*10*$F311*$G311*$I311*$N311*$AP$11)</f>
        <v>0</v>
      </c>
      <c r="AQ311" s="127">
        <v>0</v>
      </c>
      <c r="AR311" s="127">
        <v>0</v>
      </c>
      <c r="AS311" s="123"/>
      <c r="AT311" s="123"/>
      <c r="AU311" s="123"/>
      <c r="AV311" s="126"/>
      <c r="AW311" s="123">
        <v>7</v>
      </c>
      <c r="AX311" s="123">
        <f>(AW311/12*2*$E311*$G311*$H311*$M311*$AX$11)+(AW311/12*10*$F311*$G311*$I311*$M311*$AX$12)</f>
        <v>471099.52424499998</v>
      </c>
      <c r="AY311" s="123">
        <v>44</v>
      </c>
      <c r="AZ311" s="123">
        <f>(AY311/12*2*$E311*$G311*$H311*$N311*$AZ$11)+(AY311/12*10*$F311*$G311*$I311*$N311*$AZ$11)</f>
        <v>3398733.177224</v>
      </c>
      <c r="BA311" s="123">
        <v>22</v>
      </c>
      <c r="BB311" s="123">
        <f>(BA311/12*2*$E311*$G311*$H311*$N311*$BB$11)+(BA311/12*10*$F311*$G311*$I311*$N311*$BB$12)</f>
        <v>1493454.5471999997</v>
      </c>
      <c r="BC311" s="123"/>
      <c r="BD311" s="126"/>
      <c r="BE311" s="123">
        <v>11</v>
      </c>
      <c r="BF311" s="123">
        <f>(BE311/12*10*$F311*$G311*$I311*$N311*$BF$12)</f>
        <v>642802.12149999989</v>
      </c>
      <c r="BG311" s="123">
        <v>9</v>
      </c>
      <c r="BH311" s="123">
        <f>(BG311/12*2*$E311*$G311*$H311*$N311*$BH$11)+(BG311/12*10*$F311*$G311*$I311*$N311*$BH$11)</f>
        <v>568796.25486600003</v>
      </c>
      <c r="BI311" s="123">
        <v>12</v>
      </c>
      <c r="BJ311" s="126">
        <f>(BI311/12*2*$E311*$G311*$H311*$N311*$BJ$11)+(BI311/12*10*$F311*$G311*$I311*$N311*$BJ$11)</f>
        <v>1011193.3419839999</v>
      </c>
      <c r="BK311" s="123">
        <v>20</v>
      </c>
      <c r="BL311" s="127">
        <f>(BK311/12*2*$E311*$G311*$H311*$N311*$BL$11)+(BK311/12*10*$F311*$G311*$I311*$N311*$BL$11)</f>
        <v>1685322.2366400003</v>
      </c>
      <c r="BM311" s="123"/>
      <c r="BN311" s="123">
        <f>(BM311/12*2*$E311*$G311*$H311*$M311*$BN$11)+(BM311/12*10*$F311*$G311*$I311*$M311*$BN$11)</f>
        <v>0</v>
      </c>
      <c r="BO311" s="123">
        <v>35</v>
      </c>
      <c r="BP311" s="123">
        <f>(BO311/12*2*$E311*$G311*$H311*$M311*$BP$11)+(BO311/12*10*$F311*$G311*$I311*$M311*$BP$12)</f>
        <v>1877694.7061249998</v>
      </c>
      <c r="BQ311" s="123"/>
      <c r="BR311" s="123">
        <f>(BQ311/12*2*$E311*$G311*$H311*$M311*$BR$11)+(BQ311/12*10*$F311*$G311*$I311*$M311*$BR$11)</f>
        <v>0</v>
      </c>
      <c r="BS311" s="123">
        <v>7</v>
      </c>
      <c r="BT311" s="123">
        <f>(BS311/12*2*$E311*$G311*$H311*$N311*$BT$11)+(BS311/12*10*$F311*$G311*$I311*$N311*$BT$11)</f>
        <v>491552.31902</v>
      </c>
      <c r="BU311" s="123">
        <v>5</v>
      </c>
      <c r="BV311" s="126">
        <f>(BU311/12*2*$E311*$G311*$H311*$M311*$BV$11)+(BU311/12*10*$F311*$G311*$I311*$M311*$BV$11)</f>
        <v>234072.5328666667</v>
      </c>
      <c r="BW311" s="123">
        <v>2</v>
      </c>
      <c r="BX311" s="123">
        <f>(BW311/12*2*$E311*$G311*$H311*$M311*$BX$11)+(BW311/12*10*$F311*$G311*$I311*$M311*$BX$11)</f>
        <v>93629.01314666665</v>
      </c>
      <c r="BY311" s="123">
        <v>5</v>
      </c>
      <c r="BZ311" s="123">
        <f>(BY311/12*2*$E311*$G311*$H311*$M311*$BZ$11)+(BY311/12*10*$F311*$G311*$I311*$M311*$BZ$11)</f>
        <v>292590.66608333337</v>
      </c>
      <c r="CA311" s="123">
        <v>69</v>
      </c>
      <c r="CB311" s="123">
        <f>(CA311/12*2*$E311*$G311*$H311*$M311*$CB$11)+(CA311/12*10*$F311*$G311*$I311*$M311*$CB$11)</f>
        <v>4845301.4303399995</v>
      </c>
      <c r="CC311" s="123">
        <v>20</v>
      </c>
      <c r="CD311" s="123">
        <f>(CC311/12*2*$E311*$G311*$H311*$M311*$CD$11)+(CC311/12*10*$F311*$G311*$I311*$M311*$CD$11)</f>
        <v>1170362.6643333335</v>
      </c>
      <c r="CE311" s="123"/>
      <c r="CF311" s="123">
        <f>(CE311/12*10*$F311*$G311*$I311*$N311*$CF$11)</f>
        <v>0</v>
      </c>
      <c r="CG311" s="132">
        <v>155</v>
      </c>
      <c r="CH311" s="123">
        <f>(CG311/12*2*$E311*$G311*$H311*$N311*$CH$11)+(CG311/12*10*$F311*$G311*$I311*$N311*$CH$11)</f>
        <v>9795935.5004699975</v>
      </c>
      <c r="CI311" s="123"/>
      <c r="CJ311" s="127"/>
      <c r="CK311" s="123"/>
      <c r="CL311" s="123">
        <f>(CK311/12*2*$E311*$G311*$H311*$N311*$CL$11)+(CK311/12*10*$F311*$G311*$I311*$N311*$CL$12)</f>
        <v>0</v>
      </c>
      <c r="CM311" s="130">
        <v>1</v>
      </c>
      <c r="CN311" s="123">
        <f>(CM311/12*2*$E311*$G311*$H311*$N311*$CN$11)+(CM311/12*10*$F311*$G311*$I311*$N311*$CN$11)</f>
        <v>70221.759859999991</v>
      </c>
      <c r="CO311" s="123">
        <v>25</v>
      </c>
      <c r="CP311" s="123">
        <v>141422.44</v>
      </c>
      <c r="CQ311" s="123">
        <v>10</v>
      </c>
      <c r="CR311" s="123">
        <f>(CQ311/12*2*$E311*$G311*$H311*$O311*$CR$11)+(CQ311/12*10*$F311*$G311*$I311*$O311*$CR$11)</f>
        <v>932110.26480833348</v>
      </c>
      <c r="CS311" s="123">
        <v>3</v>
      </c>
      <c r="CT311" s="133">
        <f>(CS311/12*2*$E311*$G311*$H311*$P311*$CT$11)+(CS311/12*10*$F311*$G311*$I311*$P311*$CT$11)</f>
        <v>322267.71935749997</v>
      </c>
      <c r="CU311" s="127"/>
      <c r="CV311" s="123"/>
      <c r="CW311" s="126">
        <f t="shared" si="476"/>
        <v>891</v>
      </c>
      <c r="CX311" s="126">
        <f t="shared" si="476"/>
        <v>57664975.05395399</v>
      </c>
    </row>
    <row r="312" spans="1:102" ht="30" x14ac:dyDescent="0.25">
      <c r="A312" s="91"/>
      <c r="B312" s="116">
        <v>246</v>
      </c>
      <c r="C312" s="117" t="s">
        <v>742</v>
      </c>
      <c r="D312" s="161" t="s">
        <v>743</v>
      </c>
      <c r="E312" s="95">
        <v>28004</v>
      </c>
      <c r="F312" s="96">
        <v>29405</v>
      </c>
      <c r="G312" s="119">
        <v>0.87</v>
      </c>
      <c r="H312" s="107">
        <v>1</v>
      </c>
      <c r="I312" s="108"/>
      <c r="J312" s="108"/>
      <c r="K312" s="108"/>
      <c r="L312" s="63"/>
      <c r="M312" s="120">
        <v>1.4</v>
      </c>
      <c r="N312" s="120">
        <v>1.68</v>
      </c>
      <c r="O312" s="120">
        <v>2.23</v>
      </c>
      <c r="P312" s="121">
        <v>2.57</v>
      </c>
      <c r="Q312" s="122">
        <v>12</v>
      </c>
      <c r="R312" s="123">
        <f>(Q312/12*2*$E312*$G312*$H312*$M312*$R$11)+(Q312/12*10*$F312*$G312*$H312*$M312*$R$11)</f>
        <v>469007.7084</v>
      </c>
      <c r="S312" s="124">
        <v>0</v>
      </c>
      <c r="T312" s="125">
        <f>(S312/12*2*$E312*$G312*$H312*$M312*$R$11)+(S312/12*10*$F312*$G312*$H312*$M312*$R$11)</f>
        <v>0</v>
      </c>
      <c r="U312" s="123">
        <v>1</v>
      </c>
      <c r="V312" s="123">
        <f>(U312/12*2*$E312*$G312*$H312*$M312*$V$11)+(U312/12*10*$F312*$G312*$H312*$M312*$V$12)</f>
        <v>47654.016549999993</v>
      </c>
      <c r="W312" s="123"/>
      <c r="X312" s="126">
        <f>(W312/12*2*$E312*$G312*$H312*$M312*$X$11)+(W312/12*10*$F312*$G312*$H312*$M312*$X$12)</f>
        <v>0</v>
      </c>
      <c r="Y312" s="123"/>
      <c r="Z312" s="123">
        <f>(Y312/12*2*$E312*$G312*$H312*$M312*$Z$11)+(Y312/12*10*$F312*$G312*$H312*$M312*$Z$12)</f>
        <v>0</v>
      </c>
      <c r="AA312" s="123"/>
      <c r="AB312" s="123">
        <f>(AA312/12*2*$E312*$G312*$H312*$M312*$AB$11)+(AA312/12*10*$F312*$G312*$H312*$M312*$AB$11)</f>
        <v>0</v>
      </c>
      <c r="AC312" s="123"/>
      <c r="AD312" s="123"/>
      <c r="AE312" s="123"/>
      <c r="AF312" s="127">
        <f>(AE312/12*2*$E312*$G312*$H312*$M312*$AF$11)+(AE312/12*10*$F312*$G312*$H312*$M312*$AF$11)</f>
        <v>0</v>
      </c>
      <c r="AG312" s="123">
        <v>3</v>
      </c>
      <c r="AH312" s="126">
        <f>(AG312/12*2*$E312*$G312*$H312*$M312*$AH$11)+(AG312/12*10*$F312*$G312*$H312*$M312*$AH$11)</f>
        <v>117251.9271</v>
      </c>
      <c r="AI312" s="130">
        <v>7</v>
      </c>
      <c r="AJ312" s="123">
        <f t="shared" ref="AJ312:AJ313" si="477">(AI312/12*2*$E312*$G312*$H312*$M312*$AJ$11)+(AI312/12*5*$F312*$G312*$H312*$M312*$AJ$12)+(AI312/12*5*$F312*$G312*$H312*$M312*$AJ$13)</f>
        <v>321241.84645000007</v>
      </c>
      <c r="AK312" s="123"/>
      <c r="AL312" s="123">
        <f t="shared" ref="AL312:AL313" si="478">(AK312/12*2*$E312*$G312*$H312*$N312*$AL$11)+(AK312/12*5*$F312*$G312*$H312*$N312*$AL$12)++(AK312/12*5*$F312*$G312*$H312*$N312*$AL$13)</f>
        <v>0</v>
      </c>
      <c r="AM312" s="132"/>
      <c r="AN312" s="123">
        <f>(AM312/12*2*$E312*$G312*$H312*$N312*$AN$11)+(AM312/12*10*$F312*$G312*$H312*$N312*$AN$12)</f>
        <v>0</v>
      </c>
      <c r="AO312" s="130">
        <v>1</v>
      </c>
      <c r="AP312" s="127">
        <f>(AO312/12*2*$E312*$G312*$H312*$N312*$AP$11)+(AO312/12*10*$F312*$G312*$H312*$N312*$AP$11)</f>
        <v>46900.770839999997</v>
      </c>
      <c r="AQ312" s="127">
        <v>0</v>
      </c>
      <c r="AR312" s="127">
        <v>0</v>
      </c>
      <c r="AS312" s="123"/>
      <c r="AT312" s="123">
        <f>(AS312/12*2*$E312*$G312*$H312*$M312*$AT$11)+(AS312/12*10*$F312*$G312*$H312*$M312*$AT$11)</f>
        <v>0</v>
      </c>
      <c r="AU312" s="123"/>
      <c r="AV312" s="126">
        <f>(AU312/12*2*$E312*$G312*$H312*$M312*$AV$11)+(AU312/12*10*$F312*$G312*$H312*$M312*$AV$12)</f>
        <v>0</v>
      </c>
      <c r="AW312" s="123"/>
      <c r="AX312" s="123">
        <f>(AW312/12*2*$E312*$G312*$H312*$M312*$AX$11)+(AW312/12*10*$F312*$G312*$H312*$M312*$AX$12)</f>
        <v>0</v>
      </c>
      <c r="AY312" s="131">
        <v>16</v>
      </c>
      <c r="AZ312" s="123">
        <f>(AY312/12*2*$E312*$G312*$H312*$N312*$AZ$11)+(AY312/12*10*$F312*$G312*$H312*$N312*$AZ$11)</f>
        <v>750412.33343999996</v>
      </c>
      <c r="BA312" s="123"/>
      <c r="BB312" s="123">
        <f>(BA312/12*2*$E312*$G312*$H312*$N312*$BB$11)+(BA312/12*10*$F312*$G312*$H312*$N312*$BB$12)</f>
        <v>0</v>
      </c>
      <c r="BC312" s="123"/>
      <c r="BD312" s="126">
        <f>(BC312/12*2*$E312*$G312*$H312*$N312*$BD$11)+(BC312/12*10*$F312*$G312*$H312*$N312*$BD$12)</f>
        <v>0</v>
      </c>
      <c r="BE312" s="123"/>
      <c r="BF312" s="123">
        <f>(BE312/12*10*$F312*$G312*$H312*$N312*$BF$12)</f>
        <v>0</v>
      </c>
      <c r="BG312" s="123"/>
      <c r="BH312" s="123">
        <f>(BG312/12*2*$E312*$G312*$H312*$N312*$BH$11)+(BG312/12*10*$F312*$G312*$H312*$N312*$BH$11)</f>
        <v>0</v>
      </c>
      <c r="BI312" s="123">
        <v>3</v>
      </c>
      <c r="BJ312" s="126">
        <f>(BI312/12*2*$E312*$G312*$H312*$N312*$BJ$11)+(BI312/12*10*$F312*$G312*$H312*$N312*$BJ$11)</f>
        <v>153493.43184</v>
      </c>
      <c r="BK312" s="123"/>
      <c r="BL312" s="127">
        <f>(BK312/12*2*$E312*$G312*$H312*$N312*$BL$11)+(BK312/12*10*$F312*$G312*$H312*$N312*$BL$11)</f>
        <v>0</v>
      </c>
      <c r="BM312" s="123"/>
      <c r="BN312" s="123">
        <f>(BM312/12*2*$E312*$G312*$H312*$M312*$BN$11)+(BM312/12*10*$F312*$G312*$H312*$M312*$BN$11)</f>
        <v>0</v>
      </c>
      <c r="BO312" s="123"/>
      <c r="BP312" s="123">
        <f>(BO312/12*2*$E312*$G312*$H312*$M312*$BP$11)+(BO312/12*10*$F312*$G312*$H312*$M312*$BP$12)</f>
        <v>0</v>
      </c>
      <c r="BQ312" s="123"/>
      <c r="BR312" s="123">
        <f>(BQ312/12*2*$E312*$G312*$H312*$M312*$BR$11)+(BQ312/12*10*$F312*$G312*$H312*$M312*$BR$11)</f>
        <v>0</v>
      </c>
      <c r="BS312" s="123">
        <v>2</v>
      </c>
      <c r="BT312" s="123">
        <f>(BS312/12*2*$E312*$G312*$H312*$N312*$BT$11)+(BS312/12*10*$F312*$G312*$H312*$N312*$BT$11)</f>
        <v>85274.128799999991</v>
      </c>
      <c r="BU312" s="123"/>
      <c r="BV312" s="126">
        <f>(BU312/12*2*$E312*$G312*$H312*$M312*$BV$11)+(BU312/12*10*$F312*$G312*$H312*$M312*$BV$11)</f>
        <v>0</v>
      </c>
      <c r="BW312" s="123"/>
      <c r="BX312" s="123">
        <f>(BW312/12*2*$E312*$G312*$H312*$M312*$BX$11)+(BW312/12*10*$F312*$G312*$H312*$M312*$BX$11)</f>
        <v>0</v>
      </c>
      <c r="BY312" s="123"/>
      <c r="BZ312" s="123">
        <f>(BY312/12*2*$E312*$G312*$H312*$M312*$BZ$11)+(BY312/12*10*$F312*$G312*$H312*$M312*$BZ$11)</f>
        <v>0</v>
      </c>
      <c r="CA312" s="123"/>
      <c r="CB312" s="123">
        <f>(CA312/12*2*$E312*$G312*$H312*$M312*$CB$11)+(CA312/12*10*$F312*$G312*$H312*$M312*$CB$11)</f>
        <v>0</v>
      </c>
      <c r="CC312" s="123"/>
      <c r="CD312" s="123">
        <f>(CC312/12*2*$E312*$G312*$H312*$M312*$CD$11)+(CC312/12*10*$F312*$G312*$H312*$M312*$CD$11)</f>
        <v>0</v>
      </c>
      <c r="CE312" s="123"/>
      <c r="CF312" s="123">
        <f>(CE312/12*10*$F312*$G312*$H312*$N312*$CF$11)</f>
        <v>0</v>
      </c>
      <c r="CG312" s="132"/>
      <c r="CH312" s="123">
        <f>(CG312/12*2*$E312*$G312*$H312*$N312*$CH$11)+(CG312/12*10*$F312*$G312*$H312*$N312*$CH$11)</f>
        <v>0</v>
      </c>
      <c r="CI312" s="123"/>
      <c r="CJ312" s="127">
        <f>(CI312*$E312*$G312*$H312*$N312*CJ$11)</f>
        <v>0</v>
      </c>
      <c r="CK312" s="123"/>
      <c r="CL312" s="123">
        <f>(CK312/12*2*$E312*$G312*$H312*$N312*$CL$11)+(CK312/12*10*$F312*$G312*$H312*$N312*$CL$12)</f>
        <v>0</v>
      </c>
      <c r="CM312" s="130"/>
      <c r="CN312" s="123">
        <f>(CM312/12*2*$E312*$G312*$H312*$N312*$CN$11)+(CM312/12*10*$F312*$G312*$H312*$N312*$CN$11)</f>
        <v>0</v>
      </c>
      <c r="CO312" s="123"/>
      <c r="CP312" s="123">
        <f>(CO312/12*2*$E312*$G312*$H312*$N312*$CP$11)+(CO312/12*10*$F312*$G312*$H312*$N312*$CP$11)</f>
        <v>0</v>
      </c>
      <c r="CQ312" s="123"/>
      <c r="CR312" s="123">
        <f>(CQ312/12*2*$E312*$G312*$H312*$O312*$CR$11)+(CQ312/12*10*$F312*$G312*$H312*$O312*$CR$11)</f>
        <v>0</v>
      </c>
      <c r="CS312" s="123">
        <v>1</v>
      </c>
      <c r="CT312" s="133">
        <f>(CS312/12*2*$E312*$G312*$H312*$P312*$CT$11)+(CS312/12*10*$F312*$G312*$H312*$P312*$CT$11)</f>
        <v>65224.556849999986</v>
      </c>
      <c r="CU312" s="127"/>
      <c r="CV312" s="123">
        <f>(CU312*$E312*$G312*$H312*$M312*CV$11)/12*6+(CU312*$E312*$G312*$H312*1*CV$11)/12*6</f>
        <v>0</v>
      </c>
      <c r="CW312" s="126">
        <f t="shared" si="476"/>
        <v>46</v>
      </c>
      <c r="CX312" s="126">
        <f t="shared" si="476"/>
        <v>2056460.7202699999</v>
      </c>
    </row>
    <row r="313" spans="1:102" ht="30" x14ac:dyDescent="0.25">
      <c r="A313" s="91"/>
      <c r="B313" s="116">
        <v>247</v>
      </c>
      <c r="C313" s="117" t="s">
        <v>744</v>
      </c>
      <c r="D313" s="161" t="s">
        <v>745</v>
      </c>
      <c r="E313" s="95">
        <v>28004</v>
      </c>
      <c r="F313" s="96">
        <v>29405</v>
      </c>
      <c r="G313" s="119">
        <v>1.57</v>
      </c>
      <c r="H313" s="107">
        <v>1</v>
      </c>
      <c r="I313" s="108"/>
      <c r="J313" s="108"/>
      <c r="K313" s="108"/>
      <c r="L313" s="63"/>
      <c r="M313" s="120">
        <v>1.4</v>
      </c>
      <c r="N313" s="120">
        <v>1.68</v>
      </c>
      <c r="O313" s="120">
        <v>2.23</v>
      </c>
      <c r="P313" s="121">
        <v>2.57</v>
      </c>
      <c r="Q313" s="122">
        <v>2</v>
      </c>
      <c r="R313" s="123">
        <f>(Q313/12*2*$E313*$G313*$H313*$M313*$R$11)+(Q313/12*10*$F313*$G313*$H313*$M313*$R$11)</f>
        <v>141061.70540000001</v>
      </c>
      <c r="S313" s="124"/>
      <c r="T313" s="125">
        <f>(S313/12*2*$E313*$G313*$H313*$M313*$R$11)+(S313/12*10*$F313*$G313*$H313*$M313*$R$11)</f>
        <v>0</v>
      </c>
      <c r="U313" s="123"/>
      <c r="V313" s="123">
        <f>(U313/12*2*$E313*$G313*$H313*$M313*$V$11)+(U313/12*10*$F313*$G313*$H313*$M313*$V$12)</f>
        <v>0</v>
      </c>
      <c r="W313" s="123"/>
      <c r="X313" s="126">
        <f>(W313/12*2*$E313*$G313*$H313*$M313*$X$11)+(W313/12*10*$F313*$G313*$H313*$M313*$X$12)</f>
        <v>0</v>
      </c>
      <c r="Y313" s="123"/>
      <c r="Z313" s="123">
        <f>(Y313/12*2*$E313*$G313*$H313*$M313*$Z$11)+(Y313/12*10*$F313*$G313*$H313*$M313*$Z$12)</f>
        <v>0</v>
      </c>
      <c r="AA313" s="123"/>
      <c r="AB313" s="123">
        <f>(AA313/12*2*$E313*$G313*$H313*$M313*$AB$11)+(AA313/12*10*$F313*$G313*$H313*$M313*$AB$11)</f>
        <v>0</v>
      </c>
      <c r="AC313" s="123"/>
      <c r="AD313" s="123"/>
      <c r="AE313" s="123"/>
      <c r="AF313" s="123">
        <f>(AE313/12*2*$E313*$G313*$H313*$M313*$AF$11)+(AE313/12*10*$F313*$G313*$H313*$M313*$AF$11)</f>
        <v>0</v>
      </c>
      <c r="AG313" s="135">
        <v>0</v>
      </c>
      <c r="AH313" s="136">
        <f>(AG313/12*2*$E313*$G313*$H313*$M313*$AH$11)+(AG313/12*10*$F313*$G313*$H313*$M313*$AH$11)</f>
        <v>0</v>
      </c>
      <c r="AI313" s="123"/>
      <c r="AJ313" s="123">
        <f t="shared" si="477"/>
        <v>0</v>
      </c>
      <c r="AK313" s="123"/>
      <c r="AL313" s="123">
        <f t="shared" si="478"/>
        <v>0</v>
      </c>
      <c r="AM313" s="132"/>
      <c r="AN313" s="123">
        <f>(AM313/12*2*$E313*$G313*$H313*$N313*$AN$11)+(AM313/12*10*$F313*$G313*$H313*$N313*$AN$12)</f>
        <v>0</v>
      </c>
      <c r="AO313" s="130"/>
      <c r="AP313" s="127">
        <f>(AO313/12*2*$E313*$G313*$H313*$N313*$AP$11)+(AO313/12*10*$F313*$G313*$H313*$N313*$AP$11)</f>
        <v>0</v>
      </c>
      <c r="AQ313" s="127">
        <v>0</v>
      </c>
      <c r="AR313" s="127">
        <v>0</v>
      </c>
      <c r="AS313" s="123"/>
      <c r="AT313" s="123">
        <f>(AS313/12*2*$E313*$G313*$H313*$M313*$AT$11)+(AS313/12*10*$F313*$G313*$H313*$M313*$AT$11)</f>
        <v>0</v>
      </c>
      <c r="AU313" s="123"/>
      <c r="AV313" s="126">
        <f>(AU313/12*2*$E313*$G313*$H313*$M313*$AV$11)+(AU313/12*10*$F313*$G313*$H313*$M313*$AV$12)</f>
        <v>0</v>
      </c>
      <c r="AW313" s="123"/>
      <c r="AX313" s="123">
        <f>(AW313/12*2*$E313*$G313*$H313*$M313*$AX$11)+(AW313/12*10*$F313*$G313*$H313*$M313*$AX$12)</f>
        <v>0</v>
      </c>
      <c r="AY313" s="131">
        <v>0</v>
      </c>
      <c r="AZ313" s="123">
        <f>(AY313/12*2*$E313*$G313*$H313*$N313*$AZ$11)+(AY313/12*10*$F313*$G313*$H313*$N313*$AZ$11)</f>
        <v>0</v>
      </c>
      <c r="BA313" s="123"/>
      <c r="BB313" s="123">
        <f>(BA313/12*2*$E313*$G313*$H313*$N313*$BB$11)+(BA313/12*10*$F313*$G313*$H313*$N313*$BB$12)</f>
        <v>0</v>
      </c>
      <c r="BC313" s="123"/>
      <c r="BD313" s="126">
        <f>(BC313/12*2*$E313*$G313*$H313*$N313*$BD$11)+(BC313/12*10*$F313*$G313*$H313*$N313*$BD$12)</f>
        <v>0</v>
      </c>
      <c r="BE313" s="123"/>
      <c r="BF313" s="123">
        <f>(BE313/12*10*$F313*$G313*$H313*$N313*$BF$12)</f>
        <v>0</v>
      </c>
      <c r="BG313" s="123">
        <v>2</v>
      </c>
      <c r="BH313" s="123">
        <f>(BG313/12*2*$E313*$G313*$H313*$N313*$BH$11)+(BG313/12*10*$F313*$G313*$H313*$N313*$BH$11)</f>
        <v>138496.94712</v>
      </c>
      <c r="BI313" s="123"/>
      <c r="BJ313" s="126">
        <f>(BI313/12*2*$E313*$G313*$H313*$N313*$BJ$11)+(BI313/12*10*$F313*$G313*$H313*$N313*$BJ$11)</f>
        <v>0</v>
      </c>
      <c r="BK313" s="123"/>
      <c r="BL313" s="127">
        <f>(BK313/12*2*$E313*$G313*$H313*$N313*$BL$11)+(BK313/12*10*$F313*$G313*$H313*$N313*$BL$11)</f>
        <v>0</v>
      </c>
      <c r="BM313" s="123"/>
      <c r="BN313" s="123">
        <f>(BM313/12*2*$E313*$G313*$H313*$M313*$BN$11)+(BM313/12*10*$F313*$G313*$H313*$M313*$BN$11)</f>
        <v>0</v>
      </c>
      <c r="BO313" s="123"/>
      <c r="BP313" s="123">
        <f>(BO313/12*2*$E313*$G313*$H313*$M313*$BP$11)+(BO313/12*10*$F313*$G313*$H313*$M313*$BP$12)</f>
        <v>0</v>
      </c>
      <c r="BQ313" s="123"/>
      <c r="BR313" s="123">
        <f>(BQ313/12*2*$E313*$G313*$H313*$M313*$BR$11)+(BQ313/12*10*$F313*$G313*$H313*$M313*$BR$11)</f>
        <v>0</v>
      </c>
      <c r="BS313" s="123"/>
      <c r="BT313" s="123">
        <f>(BS313/12*2*$E313*$G313*$H313*$N313*$BT$11)+(BS313/12*10*$F313*$G313*$H313*$N313*$BT$11)</f>
        <v>0</v>
      </c>
      <c r="BU313" s="123"/>
      <c r="BV313" s="126">
        <f>(BU313/12*2*$E313*$G313*$H313*$M313*$BV$11)+(BU313/12*10*$F313*$G313*$H313*$M313*$BV$11)</f>
        <v>0</v>
      </c>
      <c r="BW313" s="123"/>
      <c r="BX313" s="123">
        <f>(BW313/12*2*$E313*$G313*$H313*$M313*$BX$11)+(BW313/12*10*$F313*$G313*$H313*$M313*$BX$11)</f>
        <v>0</v>
      </c>
      <c r="BY313" s="123"/>
      <c r="BZ313" s="123">
        <f>(BY313/12*2*$E313*$G313*$H313*$M313*$BZ$11)+(BY313/12*10*$F313*$G313*$H313*$M313*$BZ$11)</f>
        <v>0</v>
      </c>
      <c r="CA313" s="123"/>
      <c r="CB313" s="123">
        <f>(CA313/12*2*$E313*$G313*$H313*$M313*$CB$11)+(CA313/12*10*$F313*$G313*$H313*$M313*$CB$11)</f>
        <v>0</v>
      </c>
      <c r="CC313" s="123"/>
      <c r="CD313" s="123">
        <f>(CC313/12*2*$E313*$G313*$H313*$M313*$CD$11)+(CC313/12*10*$F313*$G313*$H313*$M313*$CD$11)</f>
        <v>0</v>
      </c>
      <c r="CE313" s="123"/>
      <c r="CF313" s="123">
        <f>(CE313/12*10*$F313*$G313*$H313*$N313*$CF$11)</f>
        <v>0</v>
      </c>
      <c r="CG313" s="132"/>
      <c r="CH313" s="123">
        <f>(CG313/12*2*$E313*$G313*$H313*$N313*$CH$11)+(CG313/12*10*$F313*$G313*$H313*$N313*$CH$11)</f>
        <v>0</v>
      </c>
      <c r="CI313" s="123"/>
      <c r="CJ313" s="127">
        <f>(CI313*$E313*$G313*$H313*$N313*CJ$11)</f>
        <v>0</v>
      </c>
      <c r="CK313" s="123"/>
      <c r="CL313" s="123">
        <f>(CK313/12*2*$E313*$G313*$H313*$N313*$CL$11)+(CK313/12*10*$F313*$G313*$H313*$N313*$CL$12)</f>
        <v>0</v>
      </c>
      <c r="CM313" s="130"/>
      <c r="CN313" s="123">
        <f>(CM313/12*2*$E313*$G313*$H313*$N313*$CN$11)+(CM313/12*10*$F313*$G313*$H313*$N313*$CN$11)</f>
        <v>0</v>
      </c>
      <c r="CO313" s="123"/>
      <c r="CP313" s="123">
        <f>(CO313/12*2*$E313*$G313*$H313*$N313*$CP$11)+(CO313/12*10*$F313*$G313*$H313*$N313*$CP$11)</f>
        <v>0</v>
      </c>
      <c r="CQ313" s="123"/>
      <c r="CR313" s="123">
        <f>(CQ313/12*2*$E313*$G313*$H313*$O313*$CR$11)+(CQ313/12*10*$F313*$G313*$H313*$O313*$CR$11)</f>
        <v>0</v>
      </c>
      <c r="CS313" s="123"/>
      <c r="CT313" s="133">
        <f>(CS313/12*2*$E313*$G313*$H313*$P313*$CT$11)+(CS313/12*10*$F313*$G313*$H313*$P313*$CT$11)</f>
        <v>0</v>
      </c>
      <c r="CU313" s="127"/>
      <c r="CV313" s="123">
        <f>(CU313*$E313*$G313*$H313*$M313*CV$11)/12*6+(CU313*$E313*$G313*$H313*1*CV$11)/12*6</f>
        <v>0</v>
      </c>
      <c r="CW313" s="126">
        <f t="shared" si="476"/>
        <v>4</v>
      </c>
      <c r="CX313" s="126">
        <f t="shared" si="476"/>
        <v>279558.65252</v>
      </c>
    </row>
    <row r="314" spans="1:102" ht="15.75" customHeight="1" x14ac:dyDescent="0.25">
      <c r="A314" s="109">
        <v>25</v>
      </c>
      <c r="B314" s="150"/>
      <c r="C314" s="93" t="s">
        <v>746</v>
      </c>
      <c r="D314" s="164" t="s">
        <v>747</v>
      </c>
      <c r="E314" s="95">
        <v>28004</v>
      </c>
      <c r="F314" s="96">
        <v>29405</v>
      </c>
      <c r="G314" s="151">
        <v>1.18</v>
      </c>
      <c r="H314" s="112"/>
      <c r="I314" s="120"/>
      <c r="J314" s="120"/>
      <c r="K314" s="120"/>
      <c r="L314" s="111"/>
      <c r="M314" s="112">
        <v>1.4</v>
      </c>
      <c r="N314" s="112">
        <v>1.68</v>
      </c>
      <c r="O314" s="112">
        <v>2.23</v>
      </c>
      <c r="P314" s="113">
        <v>2.57</v>
      </c>
      <c r="Q314" s="103">
        <f>SUM(Q315:Q326)</f>
        <v>1338</v>
      </c>
      <c r="R314" s="104">
        <f>SUM(R315:R326)</f>
        <v>150411025.69749665</v>
      </c>
      <c r="S314" s="114">
        <f t="shared" ref="S314:CD314" si="479">SUM(S315:S326)</f>
        <v>213</v>
      </c>
      <c r="T314" s="115">
        <f t="shared" si="479"/>
        <v>22692755.404806662</v>
      </c>
      <c r="U314" s="104">
        <f t="shared" si="479"/>
        <v>8</v>
      </c>
      <c r="V314" s="104">
        <f t="shared" si="479"/>
        <v>985564.82840666652</v>
      </c>
      <c r="W314" s="104">
        <f t="shared" si="479"/>
        <v>0</v>
      </c>
      <c r="X314" s="104">
        <f t="shared" si="479"/>
        <v>0</v>
      </c>
      <c r="Y314" s="104">
        <f t="shared" si="479"/>
        <v>6</v>
      </c>
      <c r="Z314" s="104">
        <f t="shared" si="479"/>
        <v>2008520.12732</v>
      </c>
      <c r="AA314" s="104">
        <f t="shared" si="479"/>
        <v>0</v>
      </c>
      <c r="AB314" s="104">
        <f t="shared" si="479"/>
        <v>0</v>
      </c>
      <c r="AC314" s="104">
        <f t="shared" si="479"/>
        <v>0</v>
      </c>
      <c r="AD314" s="104">
        <f t="shared" si="479"/>
        <v>0</v>
      </c>
      <c r="AE314" s="104">
        <f t="shared" si="479"/>
        <v>158</v>
      </c>
      <c r="AF314" s="105">
        <f t="shared" si="479"/>
        <v>13435200.449568333</v>
      </c>
      <c r="AG314" s="104">
        <f t="shared" si="479"/>
        <v>54</v>
      </c>
      <c r="AH314" s="104">
        <f t="shared" si="479"/>
        <v>2307704.2727200002</v>
      </c>
      <c r="AI314" s="106">
        <f t="shared" si="479"/>
        <v>244</v>
      </c>
      <c r="AJ314" s="104">
        <f t="shared" si="479"/>
        <v>12581480.972620003</v>
      </c>
      <c r="AK314" s="104">
        <f t="shared" si="479"/>
        <v>282</v>
      </c>
      <c r="AL314" s="104">
        <f t="shared" si="479"/>
        <v>20341255.680248998</v>
      </c>
      <c r="AM314" s="104">
        <f t="shared" si="479"/>
        <v>3</v>
      </c>
      <c r="AN314" s="104">
        <f t="shared" si="479"/>
        <v>189301.47263999999</v>
      </c>
      <c r="AO314" s="106">
        <f t="shared" si="479"/>
        <v>5</v>
      </c>
      <c r="AP314" s="104">
        <f t="shared" si="479"/>
        <v>413399.45539200003</v>
      </c>
      <c r="AQ314" s="104">
        <v>11</v>
      </c>
      <c r="AR314" s="104">
        <v>488330.53</v>
      </c>
      <c r="AS314" s="104">
        <f t="shared" si="479"/>
        <v>0</v>
      </c>
      <c r="AT314" s="104">
        <f t="shared" si="479"/>
        <v>0</v>
      </c>
      <c r="AU314" s="104">
        <f t="shared" si="479"/>
        <v>0</v>
      </c>
      <c r="AV314" s="104">
        <f t="shared" si="479"/>
        <v>0</v>
      </c>
      <c r="AW314" s="104">
        <f t="shared" si="479"/>
        <v>39</v>
      </c>
      <c r="AX314" s="104">
        <f t="shared" si="479"/>
        <v>1667339.3362499997</v>
      </c>
      <c r="AY314" s="104">
        <f t="shared" si="479"/>
        <v>491</v>
      </c>
      <c r="AZ314" s="104">
        <f t="shared" si="479"/>
        <v>49372122.406376004</v>
      </c>
      <c r="BA314" s="104">
        <f t="shared" si="479"/>
        <v>0</v>
      </c>
      <c r="BB314" s="104">
        <f t="shared" si="479"/>
        <v>0</v>
      </c>
      <c r="BC314" s="104">
        <f t="shared" si="479"/>
        <v>0</v>
      </c>
      <c r="BD314" s="104">
        <f t="shared" si="479"/>
        <v>0</v>
      </c>
      <c r="BE314" s="104">
        <f t="shared" si="479"/>
        <v>80</v>
      </c>
      <c r="BF314" s="104">
        <f t="shared" si="479"/>
        <v>2976621.1020000004</v>
      </c>
      <c r="BG314" s="104">
        <f t="shared" si="479"/>
        <v>25</v>
      </c>
      <c r="BH314" s="104">
        <f t="shared" si="479"/>
        <v>1035903.8970000001</v>
      </c>
      <c r="BI314" s="104">
        <f t="shared" si="479"/>
        <v>175</v>
      </c>
      <c r="BJ314" s="104">
        <f t="shared" si="479"/>
        <v>9381822.3777599987</v>
      </c>
      <c r="BK314" s="104">
        <f t="shared" si="479"/>
        <v>232</v>
      </c>
      <c r="BL314" s="104">
        <f t="shared" si="479"/>
        <v>17485941.425231997</v>
      </c>
      <c r="BM314" s="104">
        <f t="shared" si="479"/>
        <v>0</v>
      </c>
      <c r="BN314" s="104">
        <f t="shared" si="479"/>
        <v>0</v>
      </c>
      <c r="BO314" s="104">
        <f t="shared" si="479"/>
        <v>0</v>
      </c>
      <c r="BP314" s="104">
        <f t="shared" si="479"/>
        <v>0</v>
      </c>
      <c r="BQ314" s="104">
        <f t="shared" si="479"/>
        <v>0</v>
      </c>
      <c r="BR314" s="104">
        <f t="shared" si="479"/>
        <v>0</v>
      </c>
      <c r="BS314" s="104">
        <f t="shared" si="479"/>
        <v>147</v>
      </c>
      <c r="BT314" s="104">
        <f t="shared" si="479"/>
        <v>6525773.0118000004</v>
      </c>
      <c r="BU314" s="104">
        <f t="shared" si="479"/>
        <v>27</v>
      </c>
      <c r="BV314" s="104">
        <f t="shared" si="479"/>
        <v>804615.12599999993</v>
      </c>
      <c r="BW314" s="104">
        <f t="shared" si="479"/>
        <v>0</v>
      </c>
      <c r="BX314" s="104">
        <f t="shared" si="479"/>
        <v>0</v>
      </c>
      <c r="BY314" s="104">
        <f t="shared" si="479"/>
        <v>60</v>
      </c>
      <c r="BZ314" s="104">
        <f t="shared" si="479"/>
        <v>2128504.1749999998</v>
      </c>
      <c r="CA314" s="104">
        <f t="shared" si="479"/>
        <v>50</v>
      </c>
      <c r="CB314" s="104">
        <f t="shared" si="479"/>
        <v>2318445.9270000001</v>
      </c>
      <c r="CC314" s="104">
        <f t="shared" si="479"/>
        <v>152</v>
      </c>
      <c r="CD314" s="104">
        <f t="shared" si="479"/>
        <v>5543225.9890000001</v>
      </c>
      <c r="CE314" s="104">
        <f t="shared" ref="CE314:CX314" si="480">SUM(CE315:CE326)</f>
        <v>3</v>
      </c>
      <c r="CF314" s="104">
        <f t="shared" si="480"/>
        <v>337157.73</v>
      </c>
      <c r="CG314" s="104">
        <f t="shared" si="480"/>
        <v>0</v>
      </c>
      <c r="CH314" s="104">
        <f t="shared" si="480"/>
        <v>0</v>
      </c>
      <c r="CI314" s="104">
        <f t="shared" si="480"/>
        <v>0</v>
      </c>
      <c r="CJ314" s="104">
        <f t="shared" si="480"/>
        <v>0</v>
      </c>
      <c r="CK314" s="104">
        <f t="shared" si="480"/>
        <v>0</v>
      </c>
      <c r="CL314" s="104">
        <f t="shared" si="480"/>
        <v>0</v>
      </c>
      <c r="CM314" s="104">
        <f t="shared" si="480"/>
        <v>0</v>
      </c>
      <c r="CN314" s="104">
        <f t="shared" si="480"/>
        <v>0</v>
      </c>
      <c r="CO314" s="104">
        <f t="shared" si="480"/>
        <v>94</v>
      </c>
      <c r="CP314" s="104">
        <f t="shared" si="480"/>
        <v>1521161.6099999999</v>
      </c>
      <c r="CQ314" s="104">
        <f t="shared" si="480"/>
        <v>12</v>
      </c>
      <c r="CR314" s="104">
        <f t="shared" si="480"/>
        <v>699899.13087500003</v>
      </c>
      <c r="CS314" s="104">
        <f t="shared" si="480"/>
        <v>56</v>
      </c>
      <c r="CT314" s="104">
        <f t="shared" si="480"/>
        <v>3820058.9867499992</v>
      </c>
      <c r="CU314" s="104">
        <f t="shared" si="480"/>
        <v>0</v>
      </c>
      <c r="CV314" s="104">
        <f t="shared" si="480"/>
        <v>0</v>
      </c>
      <c r="CW314" s="104">
        <f t="shared" si="480"/>
        <v>3965</v>
      </c>
      <c r="CX314" s="104">
        <f t="shared" si="480"/>
        <v>331473131.1222623</v>
      </c>
    </row>
    <row r="315" spans="1:102" ht="30" customHeight="1" x14ac:dyDescent="0.25">
      <c r="A315" s="91"/>
      <c r="B315" s="116">
        <v>248</v>
      </c>
      <c r="C315" s="117" t="s">
        <v>748</v>
      </c>
      <c r="D315" s="161" t="s">
        <v>749</v>
      </c>
      <c r="E315" s="95">
        <v>28004</v>
      </c>
      <c r="F315" s="96">
        <v>29405</v>
      </c>
      <c r="G315" s="119">
        <v>0.85</v>
      </c>
      <c r="H315" s="107">
        <v>1</v>
      </c>
      <c r="I315" s="108"/>
      <c r="J315" s="108"/>
      <c r="K315" s="108"/>
      <c r="L315" s="63"/>
      <c r="M315" s="120">
        <v>1.4</v>
      </c>
      <c r="N315" s="120">
        <v>1.68</v>
      </c>
      <c r="O315" s="120">
        <v>2.23</v>
      </c>
      <c r="P315" s="121">
        <v>2.57</v>
      </c>
      <c r="Q315" s="122">
        <v>76</v>
      </c>
      <c r="R315" s="123">
        <f>(Q315/12*2*$E315*$G315*$H315*$M315*$R$11)+(Q315/12*10*$F315*$G315*$H315*$M315*$R$11)</f>
        <v>2902097.5060000001</v>
      </c>
      <c r="S315" s="124">
        <v>11</v>
      </c>
      <c r="T315" s="125">
        <f>(S315/12*2*$E315*$G315*$H315*$M315*$R$11)+(S315/12*10*$F315*$G315*$H315*$M315*$R$11)</f>
        <v>420040.42849999992</v>
      </c>
      <c r="U315" s="123"/>
      <c r="V315" s="123">
        <f>(U315/12*2*$E315*$G315*$H315*$M315*$V$11)+(U315/12*10*$F315*$G315*$H315*$M315*$V$12)</f>
        <v>0</v>
      </c>
      <c r="W315" s="123"/>
      <c r="X315" s="126">
        <f>(W315/12*2*$E315*$G315*$H315*$M315*$X$11)+(W315/12*10*$F315*$G315*$H315*$M315*$X$12)</f>
        <v>0</v>
      </c>
      <c r="Y315" s="123"/>
      <c r="Z315" s="123">
        <f>(Y315/12*2*$E315*$G315*$H315*$M315*$Z$11)+(Y315/12*10*$F315*$G315*$H315*$M315*$Z$12)</f>
        <v>0</v>
      </c>
      <c r="AA315" s="123"/>
      <c r="AB315" s="123">
        <f>(AA315/12*2*$E315*$G315*$H315*$M315*$AB$11)+(AA315/12*10*$F315*$G315*$H315*$M315*$AB$11)</f>
        <v>0</v>
      </c>
      <c r="AC315" s="123"/>
      <c r="AD315" s="123"/>
      <c r="AE315" s="123">
        <v>15</v>
      </c>
      <c r="AF315" s="127">
        <f>(AE315/12*2*$E315*$G315*$H315*$M315*$AF$11)+(AE315/12*10*$F315*$G315*$H315*$M315*$AF$11)</f>
        <v>572782.40250000008</v>
      </c>
      <c r="AG315" s="123">
        <v>20</v>
      </c>
      <c r="AH315" s="126">
        <f>(AG315/12*2*$E315*$G315*$H315*$M315*$AH$11)+(AG315/12*10*$F315*$G315*$H315*$M315*$AH$11)</f>
        <v>763709.87000000011</v>
      </c>
      <c r="AI315" s="130">
        <v>42</v>
      </c>
      <c r="AJ315" s="123">
        <f t="shared" ref="AJ315:AJ316" si="481">(AI315/12*2*$E315*$G315*$H315*$M315*$AJ$11)+(AI315/12*5*$F315*$G315*$H315*$M315*$AJ$12)+(AI315/12*5*$F315*$G315*$H315*$M315*$AJ$13)</f>
        <v>1883141.8585000001</v>
      </c>
      <c r="AK315" s="123">
        <v>120</v>
      </c>
      <c r="AL315" s="123">
        <f t="shared" ref="AL315:AL316" si="482">(AK315/12*2*$E315*$G315*$H315*$N315*$AL$11)+(AK315/12*5*$F315*$G315*$H315*$N315*$AL$12)++(AK315/12*5*$F315*$G315*$H315*$N315*$AL$13)</f>
        <v>6456486.3720000004</v>
      </c>
      <c r="AM315" s="132"/>
      <c r="AN315" s="123">
        <f>(AM315/12*2*$E315*$G315*$H315*$N315*$AN$11)+(AM315/12*10*$F315*$G315*$H315*$N315*$AN$12)</f>
        <v>0</v>
      </c>
      <c r="AO315" s="130"/>
      <c r="AP315" s="127">
        <f>(AO315/12*2*$E315*$G315*$H315*$N315*$AP$11)+(AO315/12*10*$F315*$G315*$H315*$N315*$AP$11)</f>
        <v>0</v>
      </c>
      <c r="AQ315" s="127">
        <v>9</v>
      </c>
      <c r="AR315" s="127">
        <v>411302.95</v>
      </c>
      <c r="AS315" s="123"/>
      <c r="AT315" s="123">
        <f>(AS315/12*2*$E315*$G315*$H315*$M315*$AT$11)+(AS315/12*10*$F315*$G315*$H315*$M315*$AT$11)</f>
        <v>0</v>
      </c>
      <c r="AU315" s="123"/>
      <c r="AV315" s="126">
        <f>(AU315/12*2*$E315*$G315*$H315*$M315*$AV$11)+(AU315/12*10*$F315*$G315*$H315*$M315*$AV$12)</f>
        <v>0</v>
      </c>
      <c r="AW315" s="123">
        <v>18</v>
      </c>
      <c r="AX315" s="123">
        <f>(AW315/12*2*$E315*$G315*$H315*$M315*$AX$11)+(AW315/12*10*$F315*$G315*$H315*$M315*$AX$12)</f>
        <v>718331.48099999991</v>
      </c>
      <c r="AY315" s="131">
        <v>105</v>
      </c>
      <c r="AZ315" s="123">
        <f>(AY315/12*2*$E315*$G315*$H315*$N315*$AZ$11)+(AY315/12*10*$F315*$G315*$H315*$N315*$AZ$11)</f>
        <v>4811372.1810000008</v>
      </c>
      <c r="BA315" s="123"/>
      <c r="BB315" s="123">
        <f>(BA315/12*2*$E315*$G315*$H315*$N315*$BB$11)+(BA315/12*10*$F315*$G315*$H315*$N315*$BB$12)</f>
        <v>0</v>
      </c>
      <c r="BC315" s="123"/>
      <c r="BD315" s="126">
        <f>(BC315/12*2*$E315*$G315*$H315*$N315*$BD$11)+(BC315/12*10*$F315*$G315*$H315*$N315*$BD$12)</f>
        <v>0</v>
      </c>
      <c r="BE315" s="123">
        <v>45</v>
      </c>
      <c r="BF315" s="123">
        <f>(BE315/12*10*$F315*$G315*$H315*$N315*$BF$12)</f>
        <v>1574637.75</v>
      </c>
      <c r="BG315" s="123">
        <v>5</v>
      </c>
      <c r="BH315" s="123">
        <f>(BG315/12*2*$E315*$G315*$H315*$N315*$BH$11)+(BG315/12*10*$F315*$G315*$H315*$N315*$BH$11)</f>
        <v>187456.05900000001</v>
      </c>
      <c r="BI315" s="123">
        <v>85</v>
      </c>
      <c r="BJ315" s="126">
        <f>(BI315/12*2*$E315*$G315*$H315*$N315*$BJ$11)+(BI315/12*10*$F315*$G315*$H315*$N315*$BJ$11)</f>
        <v>4249004.0039999997</v>
      </c>
      <c r="BK315" s="123">
        <v>73</v>
      </c>
      <c r="BL315" s="127">
        <f>(BK315/12*2*$E315*$G315*$H315*$N315*$BL$11)+(BK315/12*10*$F315*$G315*$H315*$N315*$BL$11)</f>
        <v>3649144.6151999994</v>
      </c>
      <c r="BM315" s="123"/>
      <c r="BN315" s="123">
        <f>(BM315/12*2*$E315*$G315*$H315*$M315*$BN$11)+(BM315/12*10*$F315*$G315*$H315*$M315*$BN$11)</f>
        <v>0</v>
      </c>
      <c r="BO315" s="123"/>
      <c r="BP315" s="123">
        <f>(BO315/12*2*$E315*$G315*$H315*$M315*$BP$11)+(BO315/12*10*$F315*$G315*$H315*$M315*$BP$12)</f>
        <v>0</v>
      </c>
      <c r="BQ315" s="123"/>
      <c r="BR315" s="123">
        <f>(BQ315/12*2*$E315*$G315*$H315*$M315*$BR$11)+(BQ315/12*10*$F315*$G315*$H315*$M315*$BR$11)</f>
        <v>0</v>
      </c>
      <c r="BS315" s="123">
        <v>80</v>
      </c>
      <c r="BT315" s="123">
        <f>(BS315/12*2*$E315*$G315*$H315*$N315*$BT$11)+(BS315/12*10*$F315*$G315*$H315*$N315*$BT$11)</f>
        <v>3332552.16</v>
      </c>
      <c r="BU315" s="123">
        <v>12</v>
      </c>
      <c r="BV315" s="126">
        <f>(BU315/12*2*$E315*$G315*$H315*$M315*$BV$11)+(BU315/12*10*$F315*$G315*$H315*$M315*$BV$11)</f>
        <v>333255.21600000001</v>
      </c>
      <c r="BW315" s="123"/>
      <c r="BX315" s="123">
        <f>(BW315/12*2*$E315*$G315*$H315*$M315*$BX$11)+(BW315/12*10*$F315*$G315*$H315*$M315*$BX$11)</f>
        <v>0</v>
      </c>
      <c r="BY315" s="123">
        <v>50</v>
      </c>
      <c r="BZ315" s="123">
        <f>(BY315/12*2*$E315*$G315*$H315*$M315*$BZ$11)+(BY315/12*10*$F315*$G315*$H315*$M315*$BZ$11)</f>
        <v>1735704.25</v>
      </c>
      <c r="CA315" s="123">
        <v>7</v>
      </c>
      <c r="CB315" s="123">
        <f>(CA315/12*2*$E315*$G315*$H315*$M315*$CB$11)+(CA315/12*10*$F315*$G315*$H315*$M315*$CB$11)</f>
        <v>291598.31400000001</v>
      </c>
      <c r="CC315" s="123">
        <v>100</v>
      </c>
      <c r="CD315" s="123">
        <f>(CC315/12*2*$E315*$G315*$H315*$M315*$CD$11)+(CC315/12*10*$F315*$G315*$H315*$M315*$CD$11)</f>
        <v>3471408.5</v>
      </c>
      <c r="CE315" s="123"/>
      <c r="CF315" s="123">
        <f>(CE315/12*10*$F315*$G315*$H315*$N315*$CF$11)</f>
        <v>0</v>
      </c>
      <c r="CG315" s="132"/>
      <c r="CH315" s="123">
        <f>(CG315/12*2*$E315*$G315*$H315*$N315*$CH$11)+(CG315/12*10*$F315*$G315*$H315*$N315*$CH$11)</f>
        <v>0</v>
      </c>
      <c r="CI315" s="123"/>
      <c r="CJ315" s="127">
        <f t="shared" ref="CJ315:CJ322" si="483">(CI315*$E315*$G315*$H315*$N315*CJ$11)</f>
        <v>0</v>
      </c>
      <c r="CK315" s="123"/>
      <c r="CL315" s="123">
        <f>(CK315/12*2*$E315*$G315*$H315*$N315*$CL$11)+(CK315/12*10*$F315*$G315*$H315*$N315*$CL$12)</f>
        <v>0</v>
      </c>
      <c r="CM315" s="130"/>
      <c r="CN315" s="123">
        <f>(CM315/12*2*$E315*$G315*$H315*$N315*$CN$11)+(CM315/12*10*$F315*$G315*$H315*$N315*$CN$11)</f>
        <v>0</v>
      </c>
      <c r="CO315" s="123">
        <v>30</v>
      </c>
      <c r="CP315" s="123">
        <v>417902.7699999999</v>
      </c>
      <c r="CQ315" s="123">
        <v>7</v>
      </c>
      <c r="CR315" s="123">
        <f>(CQ315/12*2*$E315*$G315*$H315*$O315*$CR$11)+(CQ315/12*10*$F315*$G315*$H315*$O315*$CR$11)</f>
        <v>387062.04775000003</v>
      </c>
      <c r="CS315" s="123">
        <v>26</v>
      </c>
      <c r="CT315" s="133">
        <f>(CS315/12*2*$E315*$G315*$H315*$P315*$CT$11)+(CS315/12*10*$F315*$G315*$H315*$P315*$CT$11)</f>
        <v>1656853.6854999997</v>
      </c>
      <c r="CU315" s="127"/>
      <c r="CV315" s="123">
        <f t="shared" ref="CV315:CV322" si="484">(CU315*$E315*$G315*$H315*$M315*CV$11)/12*6+(CU315*$E315*$G315*$H315*1*CV$11)/12*6</f>
        <v>0</v>
      </c>
      <c r="CW315" s="126">
        <f t="shared" ref="CW315:CX326" si="485">SUM(Q315,S315,U315,W315,Y315,AA315,AC315,AE315,AG315,AM315,BQ315,AI315,AU315,CC315,AW315,AY315,AK315,BC315,AO315,AQ315,BE315,CE315,BG315,BI315,BK315,BS315,BM315,BO315,BU315,BW315,BY315,CA315,CG315,BA315,AS315,CI315,CK315,CM315,CO315,CQ315,CS315,CU315)</f>
        <v>936</v>
      </c>
      <c r="CX315" s="126">
        <f t="shared" si="485"/>
        <v>40225844.42095001</v>
      </c>
    </row>
    <row r="316" spans="1:102" ht="30" x14ac:dyDescent="0.25">
      <c r="A316" s="91"/>
      <c r="B316" s="116">
        <v>249</v>
      </c>
      <c r="C316" s="117" t="s">
        <v>750</v>
      </c>
      <c r="D316" s="161" t="s">
        <v>751</v>
      </c>
      <c r="E316" s="95">
        <v>28004</v>
      </c>
      <c r="F316" s="96">
        <v>29405</v>
      </c>
      <c r="G316" s="119">
        <v>1.32</v>
      </c>
      <c r="H316" s="107">
        <v>1</v>
      </c>
      <c r="I316" s="108"/>
      <c r="J316" s="108"/>
      <c r="K316" s="108"/>
      <c r="L316" s="63"/>
      <c r="M316" s="120">
        <v>1.4</v>
      </c>
      <c r="N316" s="120">
        <v>1.68</v>
      </c>
      <c r="O316" s="120">
        <v>2.23</v>
      </c>
      <c r="P316" s="121">
        <v>2.57</v>
      </c>
      <c r="Q316" s="122">
        <v>42</v>
      </c>
      <c r="R316" s="123">
        <f>(Q316/12*2*$E316*$G316*$H316*$M316*$R$11)+(Q316/12*10*$F316*$G316*$H316*$M316*$R$11)</f>
        <v>2490592.6584000001</v>
      </c>
      <c r="S316" s="124"/>
      <c r="T316" s="125">
        <f>(S316/12*2*$E316*$G316*$H316*$M316*$R$11)+(S316/12*10*$F316*$G316*$H316*$M316*$R$11)</f>
        <v>0</v>
      </c>
      <c r="U316" s="123"/>
      <c r="V316" s="123">
        <f>(U316/12*2*$E316*$G316*$H316*$M316*$V$11)+(U316/12*10*$F316*$G316*$H316*$M316*$V$12)</f>
        <v>0</v>
      </c>
      <c r="W316" s="123"/>
      <c r="X316" s="126">
        <f>(W316/12*2*$E316*$G316*$H316*$M316*$X$11)+(W316/12*10*$F316*$G316*$H316*$M316*$X$12)</f>
        <v>0</v>
      </c>
      <c r="Y316" s="123"/>
      <c r="Z316" s="123">
        <f>(Y316/12*2*$E316*$G316*$H316*$M316*$Z$11)+(Y316/12*10*$F316*$G316*$H316*$M316*$Z$12)</f>
        <v>0</v>
      </c>
      <c r="AA316" s="123"/>
      <c r="AB316" s="123">
        <f>(AA316/12*2*$E316*$G316*$H316*$M316*$AB$11)+(AA316/12*10*$F316*$G316*$H316*$M316*$AB$11)</f>
        <v>0</v>
      </c>
      <c r="AC316" s="123"/>
      <c r="AD316" s="123"/>
      <c r="AE316" s="123">
        <v>2</v>
      </c>
      <c r="AF316" s="127">
        <f>(AE316/12*2*$E316*$G316*$H316*$M316*$AF$11)+(AE316/12*10*$F316*$G316*$H316*$M316*$AF$11)</f>
        <v>118599.6504</v>
      </c>
      <c r="AG316" s="123">
        <v>2</v>
      </c>
      <c r="AH316" s="126">
        <f>(AG316/12*2*$E316*$G316*$H316*$M316*$AH$11)+(AG316/12*10*$F316*$G316*$H316*$M316*$AH$11)</f>
        <v>118599.6504</v>
      </c>
      <c r="AI316" s="130"/>
      <c r="AJ316" s="123">
        <f t="shared" si="481"/>
        <v>0</v>
      </c>
      <c r="AK316" s="123">
        <v>2</v>
      </c>
      <c r="AL316" s="123">
        <f t="shared" si="482"/>
        <v>167109.05904000002</v>
      </c>
      <c r="AM316" s="132"/>
      <c r="AN316" s="123">
        <f>(AM316/12*2*$E316*$G316*$H316*$N316*$AN$11)+(AM316/12*10*$F316*$G316*$H316*$N316*$AN$12)</f>
        <v>0</v>
      </c>
      <c r="AO316" s="130"/>
      <c r="AP316" s="127">
        <f>(AO316/12*2*$E316*$G316*$H316*$N316*$AP$11)+(AO316/12*10*$F316*$G316*$H316*$N316*$AP$11)</f>
        <v>0</v>
      </c>
      <c r="AQ316" s="127">
        <v>0</v>
      </c>
      <c r="AR316" s="127">
        <v>0</v>
      </c>
      <c r="AS316" s="123"/>
      <c r="AT316" s="123">
        <f>(AS316/12*2*$E316*$G316*$H316*$M316*$AT$11)+(AS316/12*10*$F316*$G316*$H316*$M316*$AT$11)</f>
        <v>0</v>
      </c>
      <c r="AU316" s="123"/>
      <c r="AV316" s="126">
        <f>(AU316/12*2*$E316*$G316*$H316*$M316*$AV$11)+(AU316/12*10*$F316*$G316*$H316*$M316*$AV$12)</f>
        <v>0</v>
      </c>
      <c r="AW316" s="123"/>
      <c r="AX316" s="123">
        <f>(AW316/12*2*$E316*$G316*$H316*$M316*$AX$11)+(AW316/12*10*$F316*$G316*$H316*$M316*$AX$12)</f>
        <v>0</v>
      </c>
      <c r="AY316" s="131">
        <v>0</v>
      </c>
      <c r="AZ316" s="123">
        <f>(AY316/12*2*$E316*$G316*$H316*$N316*$AZ$11)+(AY316/12*10*$F316*$G316*$H316*$N316*$AZ$11)</f>
        <v>0</v>
      </c>
      <c r="BA316" s="123"/>
      <c r="BB316" s="123">
        <f>(BA316/12*2*$E316*$G316*$H316*$N316*$BB$11)+(BA316/12*10*$F316*$G316*$H316*$N316*$BB$12)</f>
        <v>0</v>
      </c>
      <c r="BC316" s="123"/>
      <c r="BD316" s="126">
        <f>(BC316/12*2*$E316*$G316*$H316*$N316*$BD$11)+(BC316/12*10*$F316*$G316*$H316*$N316*$BD$12)</f>
        <v>0</v>
      </c>
      <c r="BE316" s="123"/>
      <c r="BF316" s="123">
        <f>(BE316/12*10*$F316*$G316*$H316*$N316*$BF$12)</f>
        <v>0</v>
      </c>
      <c r="BG316" s="123"/>
      <c r="BH316" s="123">
        <f>(BG316/12*2*$E316*$G316*$H316*$N316*$BH$11)+(BG316/12*10*$F316*$G316*$H316*$N316*$BH$11)</f>
        <v>0</v>
      </c>
      <c r="BI316" s="123">
        <v>2</v>
      </c>
      <c r="BJ316" s="126">
        <f>(BI316/12*2*$E316*$G316*$H316*$N316*$BJ$11)+(BI316/12*10*$F316*$G316*$H316*$N316*$BJ$11)</f>
        <v>155257.72415999998</v>
      </c>
      <c r="BK316" s="123"/>
      <c r="BL316" s="127">
        <f>(BK316/12*2*$E316*$G316*$H316*$N316*$BL$11)+(BK316/12*10*$F316*$G316*$H316*$N316*$BL$11)</f>
        <v>0</v>
      </c>
      <c r="BM316" s="123"/>
      <c r="BN316" s="123">
        <f>(BM316/12*2*$E316*$G316*$H316*$M316*$BN$11)+(BM316/12*10*$F316*$G316*$H316*$M316*$BN$11)</f>
        <v>0</v>
      </c>
      <c r="BO316" s="123"/>
      <c r="BP316" s="123">
        <f>(BO316/12*2*$E316*$G316*$H316*$M316*$BP$11)+(BO316/12*10*$F316*$G316*$H316*$M316*$BP$12)</f>
        <v>0</v>
      </c>
      <c r="BQ316" s="123"/>
      <c r="BR316" s="123">
        <f>(BQ316/12*2*$E316*$G316*$H316*$M316*$BR$11)+(BQ316/12*10*$F316*$G316*$H316*$M316*$BR$11)</f>
        <v>0</v>
      </c>
      <c r="BS316" s="123">
        <v>2</v>
      </c>
      <c r="BT316" s="123">
        <f>(BS316/12*2*$E316*$G316*$H316*$N316*$BT$11)+(BS316/12*10*$F316*$G316*$H316*$N316*$BT$11)</f>
        <v>129381.4368</v>
      </c>
      <c r="BU316" s="123"/>
      <c r="BV316" s="126">
        <f>(BU316/12*2*$E316*$G316*$H316*$M316*$BV$11)+(BU316/12*10*$F316*$G316*$H316*$M316*$BV$11)</f>
        <v>0</v>
      </c>
      <c r="BW316" s="123"/>
      <c r="BX316" s="123">
        <f>(BW316/12*2*$E316*$G316*$H316*$M316*$BX$11)+(BW316/12*10*$F316*$G316*$H316*$M316*$BX$11)</f>
        <v>0</v>
      </c>
      <c r="BY316" s="123"/>
      <c r="BZ316" s="123">
        <f>(BY316/12*2*$E316*$G316*$H316*$M316*$BZ$11)+(BY316/12*10*$F316*$G316*$H316*$M316*$BZ$11)</f>
        <v>0</v>
      </c>
      <c r="CA316" s="123"/>
      <c r="CB316" s="123">
        <f>(CA316/12*2*$E316*$G316*$H316*$M316*$CB$11)+(CA316/12*10*$F316*$G316*$H316*$M316*$CB$11)</f>
        <v>0</v>
      </c>
      <c r="CC316" s="123">
        <v>2</v>
      </c>
      <c r="CD316" s="123">
        <f>(CC316/12*2*$E316*$G316*$H316*$M316*$CD$11)+(CC316/12*10*$F316*$G316*$H316*$M316*$CD$11)</f>
        <v>107817.864</v>
      </c>
      <c r="CE316" s="123"/>
      <c r="CF316" s="123">
        <f>(CE316/12*10*$F316*$G316*$H316*$N316*$CF$11)</f>
        <v>0</v>
      </c>
      <c r="CG316" s="132"/>
      <c r="CH316" s="123">
        <f>(CG316/12*2*$E316*$G316*$H316*$N316*$CH$11)+(CG316/12*10*$F316*$G316*$H316*$N316*$CH$11)</f>
        <v>0</v>
      </c>
      <c r="CI316" s="123"/>
      <c r="CJ316" s="127">
        <f t="shared" si="483"/>
        <v>0</v>
      </c>
      <c r="CK316" s="123"/>
      <c r="CL316" s="123">
        <f>(CK316/12*2*$E316*$G316*$H316*$N316*$CL$11)+(CK316/12*10*$F316*$G316*$H316*$N316*$CL$12)</f>
        <v>0</v>
      </c>
      <c r="CM316" s="130"/>
      <c r="CN316" s="123">
        <f>(CM316/12*2*$E316*$G316*$H316*$N316*$CN$11)+(CM316/12*10*$F316*$G316*$H316*$N316*$CN$11)</f>
        <v>0</v>
      </c>
      <c r="CO316" s="123">
        <v>0</v>
      </c>
      <c r="CP316" s="123">
        <v>0</v>
      </c>
      <c r="CQ316" s="123"/>
      <c r="CR316" s="123">
        <f>(CQ316/12*2*$E316*$G316*$H316*$O316*$CR$11)+(CQ316/12*10*$F316*$G316*$H316*$O316*$CR$11)</f>
        <v>0</v>
      </c>
      <c r="CS316" s="123"/>
      <c r="CT316" s="133">
        <f>(CS316/12*2*$E316*$G316*$H316*$P316*$CT$11)+(CS316/12*10*$F316*$G316*$H316*$P316*$CT$11)</f>
        <v>0</v>
      </c>
      <c r="CU316" s="127"/>
      <c r="CV316" s="123">
        <f t="shared" si="484"/>
        <v>0</v>
      </c>
      <c r="CW316" s="126">
        <f t="shared" si="485"/>
        <v>54</v>
      </c>
      <c r="CX316" s="126">
        <f t="shared" si="485"/>
        <v>3287358.0432000007</v>
      </c>
    </row>
    <row r="317" spans="1:102" ht="30" x14ac:dyDescent="0.25">
      <c r="A317" s="91"/>
      <c r="B317" s="116">
        <v>250</v>
      </c>
      <c r="C317" s="117" t="s">
        <v>752</v>
      </c>
      <c r="D317" s="161" t="s">
        <v>753</v>
      </c>
      <c r="E317" s="95">
        <v>28004</v>
      </c>
      <c r="F317" s="96">
        <v>29405</v>
      </c>
      <c r="G317" s="119">
        <v>1.05</v>
      </c>
      <c r="H317" s="107">
        <v>1</v>
      </c>
      <c r="I317" s="110">
        <v>0.9</v>
      </c>
      <c r="J317" s="108"/>
      <c r="K317" s="108"/>
      <c r="L317" s="63"/>
      <c r="M317" s="120">
        <v>1.4</v>
      </c>
      <c r="N317" s="120">
        <v>1.68</v>
      </c>
      <c r="O317" s="120">
        <v>2.23</v>
      </c>
      <c r="P317" s="121">
        <v>2.57</v>
      </c>
      <c r="Q317" s="122">
        <v>99</v>
      </c>
      <c r="R317" s="123">
        <f>(Q317/12*2*$E317*$G317*$H317*$M317*$R$11)+(Q317/12*10*$F317*$G317*$I317*$M317*$R$11)</f>
        <v>4277591.1832500007</v>
      </c>
      <c r="S317" s="124">
        <v>39</v>
      </c>
      <c r="T317" s="125">
        <f>(S317/12*2*$E317*$G317*$H317*$M317*$R$11)+(S317/12*10*$F317*$G317*$I317*$M317*$R$11)</f>
        <v>1685111.6782500001</v>
      </c>
      <c r="U317" s="123">
        <v>4</v>
      </c>
      <c r="V317" s="123">
        <f>(U317/12*2*$E317*$G317*$H317*$M317*$V$11)+(U317/12*10*$F317*$G317*$I317*$M317*$V$12)</f>
        <v>210890.63449999999</v>
      </c>
      <c r="W317" s="123"/>
      <c r="X317" s="126">
        <f>(W317/12*2*$E317*$G317*$H317*$M317*$X$11)+(W317/12*10*$F317*$G317*$I317*$M317*$X$12)</f>
        <v>0</v>
      </c>
      <c r="Y317" s="123"/>
      <c r="Z317" s="123">
        <f>(Y317/12*2*$E317*$G317*$H317*$M317*$Z$11)+(Y317/12*10*$F317*$G317*$I317*$M317*$Z$12)</f>
        <v>0</v>
      </c>
      <c r="AA317" s="123"/>
      <c r="AB317" s="123">
        <f>(AA317/12*2*$E317*$G317*$H317*$M317*$AB$11)+(AA317/12*10*$F317*$G317*$I317*$M317*$AB$11)</f>
        <v>0</v>
      </c>
      <c r="AC317" s="123"/>
      <c r="AD317" s="123"/>
      <c r="AE317" s="123">
        <v>3</v>
      </c>
      <c r="AF317" s="127">
        <f>(AE317/12*2*$E317*$G317*$H317*$M317*$AF$11)+(AE317/12*10*$F317*$G317*$I317*$M317*$AF$11)</f>
        <v>129623.97524999999</v>
      </c>
      <c r="AG317" s="123">
        <v>30</v>
      </c>
      <c r="AH317" s="126">
        <f>(AG317/12*2*$E317*$G317*$H317*$M317*$AH$11)+(AG317/12*10*$F317*$G317*$I317*$M317*$AH$11)</f>
        <v>1296239.7524999999</v>
      </c>
      <c r="AI317" s="130">
        <v>200</v>
      </c>
      <c r="AJ317" s="123">
        <f>(AI317/12*2*$E317*$G317*$H317*$M317*$AJ$11)+(AI317/12*5*$F317*$G317*$I317*$M317*$AJ$12)+(AI317/12*5*$F317*$G317*$I317*$M317*$AJ$13)</f>
        <v>10147960.025000002</v>
      </c>
      <c r="AK317" s="123">
        <f>150-27</f>
        <v>123</v>
      </c>
      <c r="AL317" s="123">
        <f>(AK317/12*2*$E317*$G317*$H317*$N317*$AL$11)+(AK317/12*5*$F317*$G317*$I317*$N317*$AL$12)+(AK317/12*5*$F317*$G317*$I317*$N317*$AL$13)</f>
        <v>7489194.4984499998</v>
      </c>
      <c r="AM317" s="132"/>
      <c r="AN317" s="123">
        <f>(AM317/12*2*$E317*$G317*$H317*$N317*$AN$11)+(AM317/12*10*$F317*$G317*$I317*$N317*$AN$12)</f>
        <v>0</v>
      </c>
      <c r="AO317" s="130">
        <v>2</v>
      </c>
      <c r="AP317" s="127">
        <f>(AO317/12*2*$E317*$G317*$H317*$N317*$AP$11)+(AO317/12*10*$F317*$G317*$I317*$N317*$AP$11)</f>
        <v>103699.1802</v>
      </c>
      <c r="AQ317" s="127">
        <v>2</v>
      </c>
      <c r="AR317" s="127">
        <v>77027.58</v>
      </c>
      <c r="AS317" s="123"/>
      <c r="AT317" s="123"/>
      <c r="AU317" s="123"/>
      <c r="AV317" s="126"/>
      <c r="AW317" s="123">
        <v>21</v>
      </c>
      <c r="AX317" s="123">
        <f>(AW317/12*2*$E317*$G317*$H317*$M317*$AX$11)+(AW317/12*10*$F317*$G317*$I317*$M317*$AX$12)</f>
        <v>949007.85524999991</v>
      </c>
      <c r="AY317" s="123">
        <v>136</v>
      </c>
      <c r="AZ317" s="123">
        <f>(AY317/12*2*$E317*$G317*$H317*$N317*$AZ$11)+(AY317/12*10*$F317*$G317*$I317*$N317*$AZ$11)</f>
        <v>7051544.2536000013</v>
      </c>
      <c r="BA317" s="123"/>
      <c r="BB317" s="123">
        <f>(BA317/12*2*$E317*$G317*$H317*$N317*$BB$11)+(BA317/12*10*$F317*$G317*$I317*$N317*$BB$12)</f>
        <v>0</v>
      </c>
      <c r="BC317" s="123"/>
      <c r="BD317" s="126"/>
      <c r="BE317" s="123">
        <v>32</v>
      </c>
      <c r="BF317" s="123">
        <f>(BE317/12*10*$F317*$G317*$I317*$N317*$BF$12)</f>
        <v>1244890.0799999998</v>
      </c>
      <c r="BG317" s="123">
        <v>20</v>
      </c>
      <c r="BH317" s="123">
        <f>(BG317/12*2*$E317*$G317*$H317*$N317*$BH$11)+(BG317/12*10*$F317*$G317*$I317*$N317*$BH$11)</f>
        <v>848447.83800000011</v>
      </c>
      <c r="BI317" s="123">
        <v>88</v>
      </c>
      <c r="BJ317" s="126">
        <f>(BI317/12*2*$E317*$G317*$H317*$N317*$BJ$11)+(BI317/12*10*$F317*$G317*$I317*$N317*$BJ$11)</f>
        <v>4977560.6495999992</v>
      </c>
      <c r="BK317" s="123">
        <v>143</v>
      </c>
      <c r="BL317" s="127">
        <f>(BK317/12*2*$E317*$G317*$H317*$N317*$BL$11)+(BK317/12*10*$F317*$G317*$I317*$N317*$BL$11)</f>
        <v>8088536.0555999996</v>
      </c>
      <c r="BM317" s="123"/>
      <c r="BN317" s="123">
        <f>(BM317/12*2*$E317*$G317*$H317*$M317*$BN$11)+(BM317/12*10*$F317*$G317*$I317*$M317*$BN$11)</f>
        <v>0</v>
      </c>
      <c r="BO317" s="123"/>
      <c r="BP317" s="123">
        <f>(BO317/12*2*$E317*$G317*$H317*$M317*$BP$11)+(BO317/12*10*$F317*$G317*$I317*$M317*$BP$12)</f>
        <v>0</v>
      </c>
      <c r="BQ317" s="123"/>
      <c r="BR317" s="123">
        <f>(BQ317/12*2*$E317*$G317*$H317*$M317*$BR$11)+(BQ317/12*10*$F317*$G317*$I317*$M317*$BR$11)</f>
        <v>0</v>
      </c>
      <c r="BS317" s="123">
        <v>65</v>
      </c>
      <c r="BT317" s="123">
        <f>(BS317/12*2*$E317*$G317*$H317*$N317*$BT$11)+(BS317/12*10*$F317*$G317*$I317*$N317*$BT$11)</f>
        <v>3063839.415</v>
      </c>
      <c r="BU317" s="123">
        <v>15</v>
      </c>
      <c r="BV317" s="126">
        <f>(BU317/12*2*$E317*$G317*$H317*$M317*$BV$11)+(BU317/12*10*$F317*$G317*$I317*$M317*$BV$11)</f>
        <v>471359.91</v>
      </c>
      <c r="BW317" s="123"/>
      <c r="BX317" s="123">
        <f>(BW317/12*2*$E317*$G317*$H317*$M317*$BX$11)+(BW317/12*10*$F317*$G317*$I317*$M317*$BX$11)</f>
        <v>0</v>
      </c>
      <c r="BY317" s="123">
        <v>10</v>
      </c>
      <c r="BZ317" s="123">
        <f>(BY317/12*2*$E317*$G317*$H317*$M317*$BZ$11)+(BY317/12*10*$F317*$G317*$I317*$M317*$BZ$11)</f>
        <v>392799.92499999999</v>
      </c>
      <c r="CA317" s="123">
        <v>43</v>
      </c>
      <c r="CB317" s="123">
        <f>(CA317/12*2*$E317*$G317*$H317*$M317*$CB$11)+(CA317/12*10*$F317*$G317*$I317*$M317*$CB$11)</f>
        <v>2026847.6130000004</v>
      </c>
      <c r="CC317" s="123">
        <v>50</v>
      </c>
      <c r="CD317" s="123">
        <f>(CC317/12*2*$E317*$G317*$H317*$M317*$CD$11)+(CC317/12*10*$F317*$G317*$I317*$M317*$CD$11)</f>
        <v>1963999.6250000002</v>
      </c>
      <c r="CE317" s="123"/>
      <c r="CF317" s="123">
        <f>(CE317/12*10*$F317*$G317*$I317*$N317*$CF$11)</f>
        <v>0</v>
      </c>
      <c r="CG317" s="132"/>
      <c r="CH317" s="123">
        <f>(CG317/12*2*$E317*$G317*$H317*$N317*$CH$11)+(CG317/12*10*$F317*$G317*$I317*$N317*$CH$11)</f>
        <v>0</v>
      </c>
      <c r="CI317" s="123"/>
      <c r="CJ317" s="127"/>
      <c r="CK317" s="123"/>
      <c r="CL317" s="123">
        <f>(CK317/12*2*$E317*$G317*$H317*$N317*$CL$11)+(CK317/12*10*$F317*$G317*$I317*$N317*$CL$12)</f>
        <v>0</v>
      </c>
      <c r="CM317" s="130"/>
      <c r="CN317" s="123">
        <f>(CM317/12*2*$E317*$G317*$H317*$N317*$CN$11)+(CM317/12*10*$F317*$G317*$I317*$N317*$CN$11)</f>
        <v>0</v>
      </c>
      <c r="CO317" s="123">
        <v>60</v>
      </c>
      <c r="CP317" s="123">
        <v>233416.9</v>
      </c>
      <c r="CQ317" s="123">
        <v>5</v>
      </c>
      <c r="CR317" s="123">
        <f>(CQ317/12*2*$E317*$G317*$H317*$O317*$CR$11)+(CQ317/12*10*$F317*$G317*$I317*$O317*$CR$11)</f>
        <v>312837.08312500006</v>
      </c>
      <c r="CS317" s="123">
        <v>30</v>
      </c>
      <c r="CT317" s="133">
        <f>(CS317/12*2*$E317*$G317*$H317*$P317*$CT$11)+(CS317/12*10*$F317*$G317*$I317*$P317*$CT$11)</f>
        <v>2163205.3012499996</v>
      </c>
      <c r="CU317" s="127"/>
      <c r="CV317" s="123"/>
      <c r="CW317" s="126">
        <f t="shared" si="485"/>
        <v>1220</v>
      </c>
      <c r="CX317" s="126">
        <f t="shared" si="485"/>
        <v>59205631.011824995</v>
      </c>
    </row>
    <row r="318" spans="1:102" ht="30" customHeight="1" x14ac:dyDescent="0.25">
      <c r="A318" s="91"/>
      <c r="B318" s="116">
        <v>251</v>
      </c>
      <c r="C318" s="117" t="s">
        <v>754</v>
      </c>
      <c r="D318" s="161" t="s">
        <v>755</v>
      </c>
      <c r="E318" s="95">
        <v>28004</v>
      </c>
      <c r="F318" s="96">
        <v>29405</v>
      </c>
      <c r="G318" s="119">
        <v>1.01</v>
      </c>
      <c r="H318" s="107">
        <v>1</v>
      </c>
      <c r="I318" s="203"/>
      <c r="J318" s="203"/>
      <c r="K318" s="203"/>
      <c r="L318" s="63"/>
      <c r="M318" s="120">
        <v>1.4</v>
      </c>
      <c r="N318" s="120">
        <v>1.68</v>
      </c>
      <c r="O318" s="120">
        <v>2.23</v>
      </c>
      <c r="P318" s="121">
        <v>2.57</v>
      </c>
      <c r="Q318" s="122">
        <v>350</v>
      </c>
      <c r="R318" s="123">
        <f>(Q318/12*2*$E318*$G318*$H318*$M318*$R$11)+(Q318/12*10*$F318*$G318*$H318*$M318*$R$11)</f>
        <v>15880672.885000002</v>
      </c>
      <c r="S318" s="124">
        <v>54</v>
      </c>
      <c r="T318" s="125">
        <f>(S318/12*2*$E318*$G318*$H318*$M318*$R$11)+(S318/12*10*$F318*$G318*$H318*$M318*$R$11)</f>
        <v>2450160.9594000001</v>
      </c>
      <c r="U318" s="123"/>
      <c r="V318" s="123">
        <f>(U318/12*2*$E318*$G318*$H318*$M318*$V$11)+(U318/12*10*$F318*$G318*$H318*$M318*$V$12)</f>
        <v>0</v>
      </c>
      <c r="W318" s="123"/>
      <c r="X318" s="126">
        <f>(W318/12*2*$E318*$G318*$H318*$M318*$X$11)+(W318/12*10*$F318*$G318*$H318*$M318*$X$12)</f>
        <v>0</v>
      </c>
      <c r="Y318" s="123"/>
      <c r="Z318" s="123">
        <f>(Y318/12*2*$E318*$G318*$H318*$M318*$Z$11)+(Y318/12*10*$F318*$G318*$H318*$M318*$Z$12)</f>
        <v>0</v>
      </c>
      <c r="AA318" s="123"/>
      <c r="AB318" s="123">
        <f>(AA318/12*2*$E318*$G318*$H318*$M318*$AB$11)+(AA318/12*10*$F318*$G318*$H318*$M318*$AB$11)</f>
        <v>0</v>
      </c>
      <c r="AC318" s="123"/>
      <c r="AD318" s="123"/>
      <c r="AE318" s="123">
        <v>35</v>
      </c>
      <c r="AF318" s="123">
        <f>(AE318/12*2*$E318*$G318*$H318*$M318*$AF$11)+(AE318/12*10*$F318*$G318*$H318*$M318*$AF$11)</f>
        <v>1588067.2885</v>
      </c>
      <c r="AG318" s="135">
        <v>0</v>
      </c>
      <c r="AH318" s="136">
        <f>(AG318/12*2*$E318*$G318*$H318*$M318*$AH$11)+(AG318/12*10*$F318*$G318*$H318*$M318*$AH$11)</f>
        <v>0</v>
      </c>
      <c r="AI318" s="123"/>
      <c r="AJ318" s="123">
        <f t="shared" ref="AJ318:AJ320" si="486">(AI318/12*2*$E318*$G318*$H318*$M318*$AJ$11)+(AI318/12*5*$F318*$G318*$H318*$M318*$AJ$12)+(AI318/12*5*$F318*$G318*$H318*$M318*$AJ$13)</f>
        <v>0</v>
      </c>
      <c r="AK318" s="123">
        <v>4</v>
      </c>
      <c r="AL318" s="123">
        <f t="shared" ref="AL318:AL320" si="487">(AK318/12*2*$E318*$G318*$H318*$N318*$AL$11)+(AK318/12*5*$F318*$G318*$H318*$N318*$AL$12)++(AK318/12*5*$F318*$G318*$H318*$N318*$AL$13)</f>
        <v>255727.49943999999</v>
      </c>
      <c r="AM318" s="132"/>
      <c r="AN318" s="123">
        <f>(AM318/12*2*$E318*$G318*$H318*$N318*$AN$11)+(AM318/12*10*$F318*$G318*$H318*$N318*$AN$12)</f>
        <v>0</v>
      </c>
      <c r="AO318" s="130"/>
      <c r="AP318" s="127">
        <f>(AO318/12*2*$E318*$G318*$H318*$N318*$AP$11)+(AO318/12*10*$F318*$G318*$H318*$N318*$AP$11)</f>
        <v>0</v>
      </c>
      <c r="AQ318" s="127">
        <v>0</v>
      </c>
      <c r="AR318" s="127">
        <v>0</v>
      </c>
      <c r="AS318" s="123"/>
      <c r="AT318" s="123">
        <f>(AS318/12*2*$E318*$G318*$H318*$M318*$AT$11)+(AS318/12*10*$F318*$G318*$H318*$M318*$AT$11)</f>
        <v>0</v>
      </c>
      <c r="AU318" s="123"/>
      <c r="AV318" s="126">
        <f>(AU318/12*2*$E318*$G318*$H318*$M318*$AV$11)+(AU318/12*10*$F318*$G318*$H318*$M318*$AV$12)</f>
        <v>0</v>
      </c>
      <c r="AW318" s="123"/>
      <c r="AX318" s="123">
        <f>(AW318/12*2*$E318*$G318*$H318*$M318*$AX$11)+(AW318/12*10*$F318*$G318*$H318*$M318*$AX$12)</f>
        <v>0</v>
      </c>
      <c r="AY318" s="123">
        <v>26</v>
      </c>
      <c r="AZ318" s="123">
        <f>(AY318/12*2*$E318*$G318*$H318*$N318*$AZ$11)+(AY318/12*10*$F318*$G318*$H318*$N318*$AZ$11)</f>
        <v>1415648.5543200001</v>
      </c>
      <c r="BA318" s="123"/>
      <c r="BB318" s="123">
        <f>(BA318/12*2*$E318*$G318*$H318*$N318*$BB$11)+(BA318/12*10*$F318*$G318*$H318*$N318*$BB$12)</f>
        <v>0</v>
      </c>
      <c r="BC318" s="123"/>
      <c r="BD318" s="126">
        <f>(BC318/12*2*$E318*$G318*$H318*$N318*$BD$11)+(BC318/12*10*$F318*$G318*$H318*$N318*$BD$12)</f>
        <v>0</v>
      </c>
      <c r="BE318" s="123"/>
      <c r="BF318" s="123">
        <f>(BE318/12*10*$F318*$G318*$H318*$N318*$BF$12)</f>
        <v>0</v>
      </c>
      <c r="BG318" s="123"/>
      <c r="BH318" s="123">
        <f>(BG318/12*2*$E318*$G318*$H318*$N318*$BH$11)+(BG318/12*10*$F318*$G318*$H318*$N318*$BH$11)</f>
        <v>0</v>
      </c>
      <c r="BI318" s="123"/>
      <c r="BJ318" s="126">
        <f>(BI318/12*2*$E318*$G318*$H318*$N318*$BJ$11)+(BI318/12*10*$F318*$G318*$H318*$N318*$BJ$11)</f>
        <v>0</v>
      </c>
      <c r="BK318" s="123"/>
      <c r="BL318" s="127">
        <f>(BK318/12*2*$E318*$G318*$H318*$N318*$BL$11)+(BK318/12*10*$F318*$G318*$H318*$N318*$BL$11)</f>
        <v>0</v>
      </c>
      <c r="BM318" s="123"/>
      <c r="BN318" s="123">
        <f>(BM318/12*2*$E318*$G318*$H318*$M318*$BN$11)+(BM318/12*10*$F318*$G318*$H318*$M318*$BN$11)</f>
        <v>0</v>
      </c>
      <c r="BO318" s="123"/>
      <c r="BP318" s="123">
        <f>(BO318/12*2*$E318*$G318*$H318*$M318*$BP$11)+(BO318/12*10*$F318*$G318*$H318*$M318*$BP$12)</f>
        <v>0</v>
      </c>
      <c r="BQ318" s="123"/>
      <c r="BR318" s="123">
        <f>(BQ318/12*2*$E318*$G318*$H318*$M318*$BR$11)+(BQ318/12*10*$F318*$G318*$H318*$M318*$BR$11)</f>
        <v>0</v>
      </c>
      <c r="BS318" s="123"/>
      <c r="BT318" s="123">
        <f>(BS318/12*2*$E318*$G318*$H318*$N318*$BT$11)+(BS318/12*10*$F318*$G318*$H318*$N318*$BT$11)</f>
        <v>0</v>
      </c>
      <c r="BU318" s="123"/>
      <c r="BV318" s="126">
        <f>(BU318/12*2*$E318*$G318*$H318*$M318*$BV$11)+(BU318/12*10*$F318*$G318*$H318*$M318*$BV$11)</f>
        <v>0</v>
      </c>
      <c r="BW318" s="123"/>
      <c r="BX318" s="123">
        <f>(BW318/12*2*$E318*$G318*$H318*$M318*$BX$11)+(BW318/12*10*$F318*$G318*$H318*$M318*$BX$11)</f>
        <v>0</v>
      </c>
      <c r="BY318" s="123"/>
      <c r="BZ318" s="123">
        <f>(BY318/12*2*$E318*$G318*$H318*$M318*$BZ$11)+(BY318/12*10*$F318*$G318*$H318*$M318*$BZ$11)</f>
        <v>0</v>
      </c>
      <c r="CA318" s="123"/>
      <c r="CB318" s="123">
        <f>(CA318/12*2*$E318*$G318*$H318*$M318*$CB$11)+(CA318/12*10*$F318*$G318*$H318*$M318*$CB$11)</f>
        <v>0</v>
      </c>
      <c r="CC318" s="123"/>
      <c r="CD318" s="123">
        <f>(CC318/12*2*$E318*$G318*$H318*$M318*$CD$11)+(CC318/12*10*$F318*$G318*$H318*$M318*$CD$11)</f>
        <v>0</v>
      </c>
      <c r="CE318" s="123"/>
      <c r="CF318" s="123">
        <f>(CE318/12*10*$F318*$G318*$H318*$N318*$CF$11)</f>
        <v>0</v>
      </c>
      <c r="CG318" s="132"/>
      <c r="CH318" s="123">
        <f>(CG318/12*2*$E318*$G318*$H318*$N318*$CH$11)+(CG318/12*10*$F318*$G318*$H318*$N318*$CH$11)</f>
        <v>0</v>
      </c>
      <c r="CI318" s="123"/>
      <c r="CJ318" s="127">
        <f t="shared" si="483"/>
        <v>0</v>
      </c>
      <c r="CK318" s="123"/>
      <c r="CL318" s="123">
        <f>(CK318/12*2*$E318*$G318*$H318*$N318*$CL$11)+(CK318/12*10*$F318*$G318*$H318*$N318*$CL$12)</f>
        <v>0</v>
      </c>
      <c r="CM318" s="130"/>
      <c r="CN318" s="123">
        <f>(CM318/12*2*$E318*$G318*$H318*$N318*$CN$11)+(CM318/12*10*$F318*$G318*$H318*$N318*$CN$11)</f>
        <v>0</v>
      </c>
      <c r="CO318" s="123">
        <v>0</v>
      </c>
      <c r="CP318" s="123">
        <v>0</v>
      </c>
      <c r="CQ318" s="123"/>
      <c r="CR318" s="123">
        <f>(CQ318/12*2*$E318*$G318*$H318*$O318*$CR$11)+(CQ318/12*10*$F318*$G318*$H318*$O318*$CR$11)</f>
        <v>0</v>
      </c>
      <c r="CS318" s="123"/>
      <c r="CT318" s="133">
        <f>(CS318/12*2*$E318*$G318*$H318*$P318*$CT$11)+(CS318/12*10*$F318*$G318*$H318*$P318*$CT$11)</f>
        <v>0</v>
      </c>
      <c r="CU318" s="127"/>
      <c r="CV318" s="123">
        <f t="shared" si="484"/>
        <v>0</v>
      </c>
      <c r="CW318" s="126">
        <f t="shared" si="485"/>
        <v>469</v>
      </c>
      <c r="CX318" s="126">
        <f t="shared" si="485"/>
        <v>21590277.186660003</v>
      </c>
    </row>
    <row r="319" spans="1:102" ht="30" customHeight="1" x14ac:dyDescent="0.25">
      <c r="A319" s="91"/>
      <c r="B319" s="116">
        <v>252</v>
      </c>
      <c r="C319" s="117" t="s">
        <v>756</v>
      </c>
      <c r="D319" s="161" t="s">
        <v>757</v>
      </c>
      <c r="E319" s="95">
        <v>28004</v>
      </c>
      <c r="F319" s="96">
        <v>29405</v>
      </c>
      <c r="G319" s="119">
        <v>2.11</v>
      </c>
      <c r="H319" s="107">
        <v>1</v>
      </c>
      <c r="I319" s="108"/>
      <c r="J319" s="108"/>
      <c r="K319" s="108"/>
      <c r="L319" s="63"/>
      <c r="M319" s="120">
        <v>1.4</v>
      </c>
      <c r="N319" s="120">
        <v>1.68</v>
      </c>
      <c r="O319" s="120">
        <v>2.23</v>
      </c>
      <c r="P319" s="121">
        <v>2.57</v>
      </c>
      <c r="Q319" s="122">
        <v>5</v>
      </c>
      <c r="R319" s="123">
        <f>(Q319/12*2*$E319*$G319*$H319*$M319*$R$11)+(Q319/12*10*$F319*$G319*$H319*$M319*$R$11)</f>
        <v>473949.36050000007</v>
      </c>
      <c r="S319" s="124">
        <v>2</v>
      </c>
      <c r="T319" s="125">
        <f>(S319/12*2*$E319*$G319*$H319*$M319*$R$11)+(S319/12*10*$F319*$G319*$H319*$M319*$R$11)</f>
        <v>189579.74419999999</v>
      </c>
      <c r="U319" s="123"/>
      <c r="V319" s="123">
        <f>(U319/12*2*$E319*$G319*$H319*$M319*$V$11)+(U319/12*10*$F319*$G319*$H319*$M319*$V$12)</f>
        <v>0</v>
      </c>
      <c r="W319" s="123"/>
      <c r="X319" s="126">
        <f>(W319/12*2*$E319*$G319*$H319*$M319*$X$11)+(W319/12*10*$F319*$G319*$H319*$M319*$X$12)</f>
        <v>0</v>
      </c>
      <c r="Y319" s="123"/>
      <c r="Z319" s="123">
        <f>(Y319/12*2*$E319*$G319*$H319*$M319*$Z$11)+(Y319/12*10*$F319*$G319*$H319*$M319*$Z$12)</f>
        <v>0</v>
      </c>
      <c r="AA319" s="123"/>
      <c r="AB319" s="123">
        <f>(AA319/12*2*$E319*$G319*$H319*$M319*$AB$11)+(AA319/12*10*$F319*$G319*$H319*$M319*$AB$11)</f>
        <v>0</v>
      </c>
      <c r="AC319" s="123"/>
      <c r="AD319" s="123"/>
      <c r="AE319" s="123">
        <v>2</v>
      </c>
      <c r="AF319" s="123">
        <f>(AE319/12*2*$E319*$G319*$H319*$M319*$AF$11)+(AE319/12*10*$F319*$G319*$H319*$M319*$AF$11)</f>
        <v>189579.74419999999</v>
      </c>
      <c r="AG319" s="123">
        <v>0</v>
      </c>
      <c r="AH319" s="126">
        <f>(AG319/12*2*$E319*$G319*$H319*$M319*$AH$11)+(AG319/12*10*$F319*$G319*$H319*$M319*$AH$11)</f>
        <v>0</v>
      </c>
      <c r="AI319" s="123"/>
      <c r="AJ319" s="123">
        <f t="shared" si="486"/>
        <v>0</v>
      </c>
      <c r="AK319" s="123">
        <v>2</v>
      </c>
      <c r="AL319" s="123">
        <f t="shared" si="487"/>
        <v>267121.29891999997</v>
      </c>
      <c r="AM319" s="132"/>
      <c r="AN319" s="123">
        <f>(AM319/12*2*$E319*$G319*$H319*$N319*$AN$11)+(AM319/12*10*$F319*$G319*$H319*$N319*$AN$12)</f>
        <v>0</v>
      </c>
      <c r="AO319" s="130"/>
      <c r="AP319" s="127">
        <f>(AO319/12*2*$E319*$G319*$H319*$N319*$AP$11)+(AO319/12*10*$F319*$G319*$H319*$N319*$AP$11)</f>
        <v>0</v>
      </c>
      <c r="AQ319" s="127">
        <v>0</v>
      </c>
      <c r="AR319" s="127">
        <v>0</v>
      </c>
      <c r="AS319" s="123"/>
      <c r="AT319" s="123">
        <f>(AS319/12*2*$E319*$G319*$H319*$M319*$AT$11)+(AS319/12*10*$F319*$G319*$H319*$M319*$AT$11)</f>
        <v>0</v>
      </c>
      <c r="AU319" s="123"/>
      <c r="AV319" s="126">
        <f>(AU319/12*2*$E319*$G319*$H319*$M319*$AV$11)+(AU319/12*10*$F319*$G319*$H319*$M319*$AV$12)</f>
        <v>0</v>
      </c>
      <c r="AW319" s="123"/>
      <c r="AX319" s="123">
        <f>(AW319/12*2*$E319*$G319*$H319*$M319*$AX$11)+(AW319/12*10*$F319*$G319*$H319*$M319*$AX$12)</f>
        <v>0</v>
      </c>
      <c r="AY319" s="123">
        <v>0</v>
      </c>
      <c r="AZ319" s="123">
        <f>(AY319/12*2*$E319*$G319*$H319*$N319*$AZ$11)+(AY319/12*10*$F319*$G319*$H319*$N319*$AZ$11)</f>
        <v>0</v>
      </c>
      <c r="BA319" s="123"/>
      <c r="BB319" s="123">
        <f>(BA319/12*2*$E319*$G319*$H319*$N319*$BB$11)+(BA319/12*10*$F319*$G319*$H319*$N319*$BB$12)</f>
        <v>0</v>
      </c>
      <c r="BC319" s="123"/>
      <c r="BD319" s="126">
        <f>(BC319/12*2*$E319*$G319*$H319*$N319*$BD$11)+(BC319/12*10*$F319*$G319*$H319*$N319*$BD$12)</f>
        <v>0</v>
      </c>
      <c r="BE319" s="123"/>
      <c r="BF319" s="123">
        <f>(BE319/12*10*$F319*$G319*$H319*$N319*$BF$12)</f>
        <v>0</v>
      </c>
      <c r="BG319" s="123"/>
      <c r="BH319" s="123">
        <f>(BG319/12*2*$E319*$G319*$H319*$N319*$BH$11)+(BG319/12*10*$F319*$G319*$H319*$N319*$BH$11)</f>
        <v>0</v>
      </c>
      <c r="BI319" s="123"/>
      <c r="BJ319" s="126">
        <f>(BI319/12*2*$E319*$G319*$H319*$N319*$BJ$11)+(BI319/12*10*$F319*$G319*$H319*$N319*$BJ$11)</f>
        <v>0</v>
      </c>
      <c r="BK319" s="123"/>
      <c r="BL319" s="127">
        <f>(BK319/12*2*$E319*$G319*$H319*$N319*$BL$11)+(BK319/12*10*$F319*$G319*$H319*$N319*$BL$11)</f>
        <v>0</v>
      </c>
      <c r="BM319" s="123"/>
      <c r="BN319" s="123">
        <f>(BM319/12*2*$E319*$G319*$H319*$M319*$BN$11)+(BM319/12*10*$F319*$G319*$H319*$M319*$BN$11)</f>
        <v>0</v>
      </c>
      <c r="BO319" s="123"/>
      <c r="BP319" s="123">
        <f>(BO319/12*2*$E319*$G319*$H319*$M319*$BP$11)+(BO319/12*10*$F319*$G319*$H319*$M319*$BP$12)</f>
        <v>0</v>
      </c>
      <c r="BQ319" s="123"/>
      <c r="BR319" s="123">
        <f>(BQ319/12*2*$E319*$G319*$H319*$M319*$BR$11)+(BQ319/12*10*$F319*$G319*$H319*$M319*$BR$11)</f>
        <v>0</v>
      </c>
      <c r="BS319" s="123"/>
      <c r="BT319" s="123">
        <f>(BS319/12*2*$E319*$G319*$H319*$N319*$BT$11)+(BS319/12*10*$F319*$G319*$H319*$N319*$BT$11)</f>
        <v>0</v>
      </c>
      <c r="BU319" s="123"/>
      <c r="BV319" s="126">
        <f>(BU319/12*2*$E319*$G319*$H319*$M319*$BV$11)+(BU319/12*10*$F319*$G319*$H319*$M319*$BV$11)</f>
        <v>0</v>
      </c>
      <c r="BW319" s="123"/>
      <c r="BX319" s="123">
        <f>(BW319/12*2*$E319*$G319*$H319*$M319*$BX$11)+(BW319/12*10*$F319*$G319*$H319*$M319*$BX$11)</f>
        <v>0</v>
      </c>
      <c r="BY319" s="123"/>
      <c r="BZ319" s="123">
        <f>(BY319/12*2*$E319*$G319*$H319*$M319*$BZ$11)+(BY319/12*10*$F319*$G319*$H319*$M319*$BZ$11)</f>
        <v>0</v>
      </c>
      <c r="CA319" s="123"/>
      <c r="CB319" s="123">
        <f>(CA319/12*2*$E319*$G319*$H319*$M319*$CB$11)+(CA319/12*10*$F319*$G319*$H319*$M319*$CB$11)</f>
        <v>0</v>
      </c>
      <c r="CC319" s="123"/>
      <c r="CD319" s="123">
        <f>(CC319/12*2*$E319*$G319*$H319*$M319*$CD$11)+(CC319/12*10*$F319*$G319*$H319*$M319*$CD$11)</f>
        <v>0</v>
      </c>
      <c r="CE319" s="123">
        <v>2</v>
      </c>
      <c r="CF319" s="123">
        <f>(CE319/12*10*$F319*$G319*$H319*$N319*$CF$11)</f>
        <v>173724.73999999996</v>
      </c>
      <c r="CG319" s="132"/>
      <c r="CH319" s="123">
        <f>(CG319/12*2*$E319*$G319*$H319*$N319*$CH$11)+(CG319/12*10*$F319*$G319*$H319*$N319*$CH$11)</f>
        <v>0</v>
      </c>
      <c r="CI319" s="123"/>
      <c r="CJ319" s="127">
        <f t="shared" si="483"/>
        <v>0</v>
      </c>
      <c r="CK319" s="123"/>
      <c r="CL319" s="123">
        <f>(CK319/12*2*$E319*$G319*$H319*$N319*$CL$11)+(CK319/12*10*$F319*$G319*$H319*$N319*$CL$12)</f>
        <v>0</v>
      </c>
      <c r="CM319" s="130"/>
      <c r="CN319" s="123">
        <f>(CM319/12*2*$E319*$G319*$H319*$N319*$CN$11)+(CM319/12*10*$F319*$G319*$H319*$N319*$CN$11)</f>
        <v>0</v>
      </c>
      <c r="CO319" s="123">
        <v>0</v>
      </c>
      <c r="CP319" s="123">
        <v>0</v>
      </c>
      <c r="CQ319" s="123"/>
      <c r="CR319" s="123">
        <f>(CQ319/12*2*$E319*$G319*$H319*$O319*$CR$11)+(CQ319/12*10*$F319*$G319*$H319*$O319*$CR$11)</f>
        <v>0</v>
      </c>
      <c r="CS319" s="123"/>
      <c r="CT319" s="133">
        <f>(CS319/12*2*$E319*$G319*$H319*$P319*$CT$11)+(CS319/12*10*$F319*$G319*$H319*$P319*$CT$11)</f>
        <v>0</v>
      </c>
      <c r="CU319" s="127"/>
      <c r="CV319" s="123">
        <f t="shared" si="484"/>
        <v>0</v>
      </c>
      <c r="CW319" s="126">
        <f t="shared" si="485"/>
        <v>13</v>
      </c>
      <c r="CX319" s="126">
        <f t="shared" si="485"/>
        <v>1293954.8878200001</v>
      </c>
    </row>
    <row r="320" spans="1:102" ht="30" customHeight="1" x14ac:dyDescent="0.25">
      <c r="A320" s="91"/>
      <c r="B320" s="116">
        <v>253</v>
      </c>
      <c r="C320" s="117" t="s">
        <v>758</v>
      </c>
      <c r="D320" s="161" t="s">
        <v>759</v>
      </c>
      <c r="E320" s="95">
        <v>28004</v>
      </c>
      <c r="F320" s="96">
        <v>29405</v>
      </c>
      <c r="G320" s="119">
        <v>3.97</v>
      </c>
      <c r="H320" s="107">
        <v>1</v>
      </c>
      <c r="I320" s="108"/>
      <c r="J320" s="108"/>
      <c r="K320" s="108"/>
      <c r="L320" s="63"/>
      <c r="M320" s="120">
        <v>1.4</v>
      </c>
      <c r="N320" s="120">
        <v>1.68</v>
      </c>
      <c r="O320" s="120">
        <v>2.23</v>
      </c>
      <c r="P320" s="121">
        <v>2.57</v>
      </c>
      <c r="Q320" s="122">
        <v>0</v>
      </c>
      <c r="R320" s="123">
        <f>(Q320/12*2*$E320*$G320*$H320*$M320*$R$11)+(Q320/12*10*$F320*$G320*$H320*$M320*$R$11)</f>
        <v>0</v>
      </c>
      <c r="S320" s="124"/>
      <c r="T320" s="125">
        <f>(S320/12*2*$E320*$G320*$H320*$M320*$R$11)+(S320/12*10*$F320*$G320*$H320*$M320*$R$11)</f>
        <v>0</v>
      </c>
      <c r="U320" s="123"/>
      <c r="V320" s="123">
        <f>(U320/12*2*$E320*$G320*$H320*$M320*$V$11)+(U320/12*10*$F320*$G320*$H320*$M320*$V$12)</f>
        <v>0</v>
      </c>
      <c r="W320" s="123"/>
      <c r="X320" s="126">
        <f>(W320/12*2*$E320*$G320*$H320*$M320*$X$11)+(W320/12*10*$F320*$G320*$H320*$M320*$X$12)</f>
        <v>0</v>
      </c>
      <c r="Y320" s="123"/>
      <c r="Z320" s="123">
        <f>(Y320/12*2*$E320*$G320*$H320*$M320*$Z$11)+(Y320/12*10*$F320*$G320*$H320*$M320*$Z$12)</f>
        <v>0</v>
      </c>
      <c r="AA320" s="123"/>
      <c r="AB320" s="123">
        <f>(AA320/12*2*$E320*$G320*$H320*$M320*$AB$11)+(AA320/12*10*$F320*$G320*$H320*$M320*$AB$11)</f>
        <v>0</v>
      </c>
      <c r="AC320" s="123"/>
      <c r="AD320" s="123"/>
      <c r="AE320" s="123"/>
      <c r="AF320" s="123">
        <f>(AE320/12*2*$E320*$G320*$H320*$M320*$AF$11)+(AE320/12*10*$F320*$G320*$H320*$M320*$AF$11)</f>
        <v>0</v>
      </c>
      <c r="AG320" s="123">
        <v>0</v>
      </c>
      <c r="AH320" s="126">
        <f>(AG320/12*2*$E320*$G320*$H320*$M320*$AH$11)+(AG320/12*10*$F320*$G320*$H320*$M320*$AH$11)</f>
        <v>0</v>
      </c>
      <c r="AI320" s="123"/>
      <c r="AJ320" s="123">
        <f t="shared" si="486"/>
        <v>0</v>
      </c>
      <c r="AK320" s="123"/>
      <c r="AL320" s="123">
        <f t="shared" si="487"/>
        <v>0</v>
      </c>
      <c r="AM320" s="132"/>
      <c r="AN320" s="123">
        <f>(AM320/12*2*$E320*$G320*$H320*$N320*$AN$11)+(AM320/12*10*$F320*$G320*$H320*$N320*$AN$12)</f>
        <v>0</v>
      </c>
      <c r="AO320" s="130"/>
      <c r="AP320" s="127">
        <f>(AO320/12*2*$E320*$G320*$H320*$N320*$AP$11)+(AO320/12*10*$F320*$G320*$H320*$N320*$AP$11)</f>
        <v>0</v>
      </c>
      <c r="AQ320" s="127">
        <v>0</v>
      </c>
      <c r="AR320" s="127">
        <v>0</v>
      </c>
      <c r="AS320" s="123"/>
      <c r="AT320" s="123">
        <f>(AS320/12*2*$E320*$G320*$H320*$M320*$AT$11)+(AS320/12*10*$F320*$G320*$H320*$M320*$AT$11)</f>
        <v>0</v>
      </c>
      <c r="AU320" s="123"/>
      <c r="AV320" s="126">
        <f>(AU320/12*2*$E320*$G320*$H320*$M320*$AV$11)+(AU320/12*10*$F320*$G320*$H320*$M320*$AV$12)</f>
        <v>0</v>
      </c>
      <c r="AW320" s="123"/>
      <c r="AX320" s="123">
        <f>(AW320/12*2*$E320*$G320*$H320*$M320*$AX$11)+(AW320/12*10*$F320*$G320*$H320*$M320*$AX$12)</f>
        <v>0</v>
      </c>
      <c r="AY320" s="123">
        <v>0</v>
      </c>
      <c r="AZ320" s="123">
        <f>(AY320/12*2*$E320*$G320*$H320*$N320*$AZ$11)+(AY320/12*10*$F320*$G320*$H320*$N320*$AZ$11)</f>
        <v>0</v>
      </c>
      <c r="BA320" s="123"/>
      <c r="BB320" s="123">
        <f>(BA320/12*2*$E320*$G320*$H320*$N320*$BB$11)+(BA320/12*10*$F320*$G320*$H320*$N320*$BB$12)</f>
        <v>0</v>
      </c>
      <c r="BC320" s="123"/>
      <c r="BD320" s="126">
        <f>(BC320/12*2*$E320*$G320*$H320*$N320*$BD$11)+(BC320/12*10*$F320*$G320*$H320*$N320*$BD$12)</f>
        <v>0</v>
      </c>
      <c r="BE320" s="123"/>
      <c r="BF320" s="123">
        <f>(BE320/12*10*$F320*$G320*$H320*$N320*$BF$12)</f>
        <v>0</v>
      </c>
      <c r="BG320" s="123"/>
      <c r="BH320" s="123">
        <f>(BG320/12*2*$E320*$G320*$H320*$N320*$BH$11)+(BG320/12*10*$F320*$G320*$H320*$N320*$BH$11)</f>
        <v>0</v>
      </c>
      <c r="BI320" s="123"/>
      <c r="BJ320" s="126">
        <f>(BI320/12*2*$E320*$G320*$H320*$N320*$BJ$11)+(BI320/12*10*$F320*$G320*$H320*$N320*$BJ$11)</f>
        <v>0</v>
      </c>
      <c r="BK320" s="123"/>
      <c r="BL320" s="127">
        <f>(BK320/12*2*$E320*$G320*$H320*$N320*$BL$11)+(BK320/12*10*$F320*$G320*$H320*$N320*$BL$11)</f>
        <v>0</v>
      </c>
      <c r="BM320" s="123"/>
      <c r="BN320" s="123">
        <f>(BM320/12*2*$E320*$G320*$H320*$M320*$BN$11)+(BM320/12*10*$F320*$G320*$H320*$M320*$BN$11)</f>
        <v>0</v>
      </c>
      <c r="BO320" s="123"/>
      <c r="BP320" s="123">
        <f>(BO320/12*2*$E320*$G320*$H320*$M320*$BP$11)+(BO320/12*10*$F320*$G320*$H320*$M320*$BP$12)</f>
        <v>0</v>
      </c>
      <c r="BQ320" s="123"/>
      <c r="BR320" s="123">
        <f>(BQ320/12*2*$E320*$G320*$H320*$M320*$BR$11)+(BQ320/12*10*$F320*$G320*$H320*$M320*$BR$11)</f>
        <v>0</v>
      </c>
      <c r="BS320" s="123"/>
      <c r="BT320" s="123">
        <f>(BS320/12*2*$E320*$G320*$H320*$N320*$BT$11)+(BS320/12*10*$F320*$G320*$H320*$N320*$BT$11)</f>
        <v>0</v>
      </c>
      <c r="BU320" s="123"/>
      <c r="BV320" s="126">
        <f>(BU320/12*2*$E320*$G320*$H320*$M320*$BV$11)+(BU320/12*10*$F320*$G320*$H320*$M320*$BV$11)</f>
        <v>0</v>
      </c>
      <c r="BW320" s="123"/>
      <c r="BX320" s="123">
        <f>(BW320/12*2*$E320*$G320*$H320*$M320*$BX$11)+(BW320/12*10*$F320*$G320*$H320*$M320*$BX$11)</f>
        <v>0</v>
      </c>
      <c r="BY320" s="123"/>
      <c r="BZ320" s="123">
        <f>(BY320/12*2*$E320*$G320*$H320*$M320*$BZ$11)+(BY320/12*10*$F320*$G320*$H320*$M320*$BZ$11)</f>
        <v>0</v>
      </c>
      <c r="CA320" s="123"/>
      <c r="CB320" s="123">
        <f>(CA320/12*2*$E320*$G320*$H320*$M320*$CB$11)+(CA320/12*10*$F320*$G320*$H320*$M320*$CB$11)</f>
        <v>0</v>
      </c>
      <c r="CC320" s="123"/>
      <c r="CD320" s="123">
        <f>(CC320/12*2*$E320*$G320*$H320*$M320*$CD$11)+(CC320/12*10*$F320*$G320*$H320*$M320*$CD$11)</f>
        <v>0</v>
      </c>
      <c r="CE320" s="123">
        <v>1</v>
      </c>
      <c r="CF320" s="123">
        <f>(CE320/12*10*$F320*$G320*$H320*$N320*$CF$11)</f>
        <v>163432.99</v>
      </c>
      <c r="CG320" s="132"/>
      <c r="CH320" s="123">
        <f>(CG320/12*2*$E320*$G320*$H320*$N320*$CH$11)+(CG320/12*10*$F320*$G320*$H320*$N320*$CH$11)</f>
        <v>0</v>
      </c>
      <c r="CI320" s="123"/>
      <c r="CJ320" s="127">
        <f t="shared" si="483"/>
        <v>0</v>
      </c>
      <c r="CK320" s="123"/>
      <c r="CL320" s="123">
        <f>(CK320/12*2*$E320*$G320*$H320*$N320*$CL$11)+(CK320/12*10*$F320*$G320*$H320*$N320*$CL$12)</f>
        <v>0</v>
      </c>
      <c r="CM320" s="130"/>
      <c r="CN320" s="123">
        <f>(CM320/12*2*$E320*$G320*$H320*$N320*$CN$11)+(CM320/12*10*$F320*$G320*$H320*$N320*$CN$11)</f>
        <v>0</v>
      </c>
      <c r="CO320" s="123">
        <v>0</v>
      </c>
      <c r="CP320" s="123">
        <v>0</v>
      </c>
      <c r="CQ320" s="123"/>
      <c r="CR320" s="123">
        <f>(CQ320/12*2*$E320*$G320*$H320*$O320*$CR$11)+(CQ320/12*10*$F320*$G320*$H320*$O320*$CR$11)</f>
        <v>0</v>
      </c>
      <c r="CS320" s="123"/>
      <c r="CT320" s="133">
        <f>(CS320/12*2*$E320*$G320*$H320*$P320*$CT$11)+(CS320/12*10*$F320*$G320*$H320*$P320*$CT$11)</f>
        <v>0</v>
      </c>
      <c r="CU320" s="127"/>
      <c r="CV320" s="123">
        <f t="shared" si="484"/>
        <v>0</v>
      </c>
      <c r="CW320" s="126">
        <f t="shared" si="485"/>
        <v>1</v>
      </c>
      <c r="CX320" s="126">
        <f t="shared" si="485"/>
        <v>163432.99</v>
      </c>
    </row>
    <row r="321" spans="1:102" s="6" customFormat="1" ht="30" customHeight="1" x14ac:dyDescent="0.25">
      <c r="A321" s="91"/>
      <c r="B321" s="116">
        <v>254</v>
      </c>
      <c r="C321" s="117" t="s">
        <v>760</v>
      </c>
      <c r="D321" s="161" t="s">
        <v>761</v>
      </c>
      <c r="E321" s="95">
        <v>28004</v>
      </c>
      <c r="F321" s="96">
        <v>29405</v>
      </c>
      <c r="G321" s="119">
        <v>4.3099999999999996</v>
      </c>
      <c r="H321" s="110">
        <v>0.85</v>
      </c>
      <c r="I321" s="110">
        <v>0.8</v>
      </c>
      <c r="J321" s="203"/>
      <c r="K321" s="203"/>
      <c r="L321" s="63"/>
      <c r="M321" s="120">
        <v>1.4</v>
      </c>
      <c r="N321" s="120">
        <v>1.68</v>
      </c>
      <c r="O321" s="120">
        <v>2.23</v>
      </c>
      <c r="P321" s="121">
        <v>2.57</v>
      </c>
      <c r="Q321" s="122">
        <v>33</v>
      </c>
      <c r="R321" s="123">
        <f>(Q321/12*2*$E321*$G321*$H321*$M321*$R$11)+(Q321/12*10*$F321*$G321*$I321*$M321*$R$11)</f>
        <v>5162760.2133799996</v>
      </c>
      <c r="S321" s="124">
        <v>85</v>
      </c>
      <c r="T321" s="125">
        <f>(S321/12*2*$E321*$G321*$H321*$M321*$R$11)+(S321/12*10*$F321*$G321*$I321*$M321*$R$11)</f>
        <v>13298018.73143333</v>
      </c>
      <c r="U321" s="123"/>
      <c r="V321" s="123">
        <f>(U321/12*2*$E321*$G321*$H321*$M321*$V$11)+(U321/12*10*$F321*$G321*$I321*$M321*$V$12)</f>
        <v>0</v>
      </c>
      <c r="W321" s="123"/>
      <c r="X321" s="126">
        <f>(W321/12*2*$E321*$G321*$H321*$M321*$X$11)+(W321/12*10*$F321*$G321*$I321*$M321*$X$12)</f>
        <v>0</v>
      </c>
      <c r="Y321" s="123"/>
      <c r="Z321" s="123">
        <f>(Y321/12*2*$E321*$G321*$H321*$M321*$Z$11)+(Y321/12*10*$F321*$G321*$I321*$M321*$Z$12)</f>
        <v>0</v>
      </c>
      <c r="AA321" s="123"/>
      <c r="AB321" s="123">
        <f>(AA321/12*2*$E321*$G321*$H321*$M321*$AB$11)+(AA321/12*10*$F321*$G321*$I321*$M321*$AB$11)</f>
        <v>0</v>
      </c>
      <c r="AC321" s="123"/>
      <c r="AD321" s="123"/>
      <c r="AE321" s="123"/>
      <c r="AF321" s="123">
        <f>(AE321/12*2*$E321*$G321*$H321*$M321*$AF$11)+(AE321/12*10*$F321*$G321*$I321*$M321*$AF$11)</f>
        <v>0</v>
      </c>
      <c r="AG321" s="123">
        <v>0</v>
      </c>
      <c r="AH321" s="126">
        <f>(AG321/12*2*$E321*$G321*$H321*$M321*$AH$11)+(AG321/12*10*$F321*$G321*$I321*$M321*$AH$11)</f>
        <v>0</v>
      </c>
      <c r="AI321" s="123"/>
      <c r="AJ321" s="123">
        <f>(AI321/12*2*$E321*$G321*$H321*$M321*$AJ$11)+(AI321/12*5*$F321*$G321*$I321*$M321*$AJ$12)+(AI321/12*5*$F321*$G321*$I321*$M321*$AJ$13)</f>
        <v>0</v>
      </c>
      <c r="AK321" s="123">
        <v>13</v>
      </c>
      <c r="AL321" s="123">
        <f>(AK321/12*2*$E321*$G321*$H321*$N321*$AL$11)+(AK321/12*5*$F321*$G321*$I321*$N321*$AL$12)+(AK321/12*5*$F321*$G321*$I321*$N321*$AL$13)</f>
        <v>2865866.2330479994</v>
      </c>
      <c r="AM321" s="132"/>
      <c r="AN321" s="123">
        <f>(AM321/12*2*$E321*$G321*$H321*$N321*$AN$11)+(AM321/12*10*$F321*$G321*$I321*$N321*$AN$12)</f>
        <v>0</v>
      </c>
      <c r="AO321" s="130"/>
      <c r="AP321" s="127">
        <f>(AO321/12*2*$E321*$G321*$H321*$N321*$AP$11)+(AO321/12*10*$F321*$G321*$I321*$N321*$AP$11)</f>
        <v>0</v>
      </c>
      <c r="AQ321" s="127">
        <v>0</v>
      </c>
      <c r="AR321" s="127">
        <v>0</v>
      </c>
      <c r="AS321" s="123"/>
      <c r="AT321" s="123"/>
      <c r="AU321" s="123"/>
      <c r="AV321" s="126"/>
      <c r="AW321" s="123"/>
      <c r="AX321" s="123">
        <f>(AW321/12*2*$E321*$G321*$H321*$M321*$AX$11)+(AW321/12*10*$F321*$G321*$I321*$M321*$AX$12)</f>
        <v>0</v>
      </c>
      <c r="AY321" s="123">
        <v>0</v>
      </c>
      <c r="AZ321" s="123">
        <f>(AY321/12*2*$E321*$G321*$H321*$N321*$AZ$11)+(AY321/12*10*$F321*$G321*$I321*$N321*$AZ$11)</f>
        <v>0</v>
      </c>
      <c r="BA321" s="123"/>
      <c r="BB321" s="123">
        <f>(BA321/12*2*$E321*$G321*$H321*$N321*$BB$11)+(BA321/12*10*$F321*$G321*$I321*$N321*$BB$12)</f>
        <v>0</v>
      </c>
      <c r="BC321" s="123"/>
      <c r="BD321" s="126"/>
      <c r="BE321" s="123"/>
      <c r="BF321" s="123">
        <f>(BE321/12*10*$F321*$G321*$I321*$N321*$BF$12)</f>
        <v>0</v>
      </c>
      <c r="BG321" s="123"/>
      <c r="BH321" s="123">
        <f>(BG321/12*2*$E321*$G321*$H321*$N321*$BH$11)+(BG321/12*10*$F321*$G321*$I321*$N321*$BH$11)</f>
        <v>0</v>
      </c>
      <c r="BI321" s="123"/>
      <c r="BJ321" s="126">
        <f>(BI321/12*2*$E321*$G321*$H321*$N321*$BJ$11)+(BI321/12*10*$F321*$G321*$I321*$N321*$BJ$11)</f>
        <v>0</v>
      </c>
      <c r="BK321" s="123"/>
      <c r="BL321" s="127">
        <f>(BK321/12*2*$E321*$G321*$H321*$N321*$BL$11)+(BK321/12*10*$F321*$G321*$I321*$N321*$BL$11)</f>
        <v>0</v>
      </c>
      <c r="BM321" s="123"/>
      <c r="BN321" s="123">
        <f>(BM321/12*2*$E321*$G321*$H321*$M321*$BN$11)+(BM321/12*10*$F321*$G321*$I321*$M321*$BN$11)</f>
        <v>0</v>
      </c>
      <c r="BO321" s="123"/>
      <c r="BP321" s="123">
        <f>(BO321/12*2*$E321*$G321*$H321*$M321*$BP$11)+(BO321/12*10*$F321*$G321*$I321*$M321*$BP$12)</f>
        <v>0</v>
      </c>
      <c r="BQ321" s="123"/>
      <c r="BR321" s="123">
        <f>(BQ321/12*2*$E321*$G321*$H321*$M321*$BR$11)+(BQ321/12*10*$F321*$G321*$I321*$M321*$BR$11)</f>
        <v>0</v>
      </c>
      <c r="BS321" s="123"/>
      <c r="BT321" s="123">
        <f>(BS321/12*2*$E321*$G321*$H321*$N321*$BT$11)+(BS321/12*10*$F321*$G321*$I321*$N321*$BT$11)</f>
        <v>0</v>
      </c>
      <c r="BU321" s="123"/>
      <c r="BV321" s="126">
        <f>(BU321/12*2*$E321*$G321*$H321*$M321*$BV$11)+(BU321/12*10*$F321*$G321*$I321*$M321*$BV$11)</f>
        <v>0</v>
      </c>
      <c r="BW321" s="123"/>
      <c r="BX321" s="123">
        <f>(BW321/12*2*$E321*$G321*$H321*$M321*$BX$11)+(BW321/12*10*$F321*$G321*$I321*$M321*$BX$11)</f>
        <v>0</v>
      </c>
      <c r="BY321" s="123"/>
      <c r="BZ321" s="123">
        <f>(BY321/12*2*$E321*$G321*$H321*$M321*$BZ$11)+(BY321/12*10*$F321*$G321*$I321*$M321*$BZ$11)</f>
        <v>0</v>
      </c>
      <c r="CA321" s="123"/>
      <c r="CB321" s="123">
        <f>(CA321/12*2*$E321*$G321*$H321*$M321*$CB$11)+(CA321/12*10*$F321*$G321*$I321*$M321*$CB$11)</f>
        <v>0</v>
      </c>
      <c r="CC321" s="123"/>
      <c r="CD321" s="123">
        <f>(CC321/12*2*$E321*$G321*$H321*$M321*$CD$11)+(CC321/12*10*$F321*$G321*$I321*$M321*$CD$11)</f>
        <v>0</v>
      </c>
      <c r="CE321" s="123"/>
      <c r="CF321" s="123">
        <f>(CE321/12*10*$F321*$G321*$I321*$N321*$CF$11)</f>
        <v>0</v>
      </c>
      <c r="CG321" s="132"/>
      <c r="CH321" s="123">
        <f>(CG321/12*2*$E321*$G321*$H321*$N321*$CH$11)+(CG321/12*10*$F321*$G321*$I321*$N321*$CH$11)</f>
        <v>0</v>
      </c>
      <c r="CI321" s="123"/>
      <c r="CJ321" s="127"/>
      <c r="CK321" s="123"/>
      <c r="CL321" s="123">
        <f>(CK321/12*2*$E321*$G321*$H321*$N321*$CL$11)+(CK321/12*10*$F321*$G321*$I321*$N321*$CL$12)</f>
        <v>0</v>
      </c>
      <c r="CM321" s="130"/>
      <c r="CN321" s="123">
        <f>(CM321/12*2*$E321*$G321*$H321*$N321*$CN$11)+(CM321/12*10*$F321*$G321*$I321*$N321*$CN$11)</f>
        <v>0</v>
      </c>
      <c r="CO321" s="123">
        <v>0</v>
      </c>
      <c r="CP321" s="123">
        <v>0</v>
      </c>
      <c r="CQ321" s="123"/>
      <c r="CR321" s="123">
        <f>(CQ321/12*2*$E321*$G321*$H321*$O321*$CR$11)+(CQ321/12*10*$F321*$G321*$I321*$O321*$CR$11)</f>
        <v>0</v>
      </c>
      <c r="CS321" s="123"/>
      <c r="CT321" s="133">
        <f>(CS321/12*2*$E321*$G321*$H321*$P321*$CT$11)+(CS321/12*10*$F321*$G321*$I321*$P321*$CT$11)</f>
        <v>0</v>
      </c>
      <c r="CU321" s="127"/>
      <c r="CV321" s="123"/>
      <c r="CW321" s="126">
        <f t="shared" si="485"/>
        <v>131</v>
      </c>
      <c r="CX321" s="126">
        <f t="shared" si="485"/>
        <v>21326645.177861329</v>
      </c>
    </row>
    <row r="322" spans="1:102" s="6" customFormat="1" ht="15.75" customHeight="1" x14ac:dyDescent="0.25">
      <c r="A322" s="91"/>
      <c r="B322" s="116">
        <v>255</v>
      </c>
      <c r="C322" s="117" t="s">
        <v>762</v>
      </c>
      <c r="D322" s="161" t="s">
        <v>763</v>
      </c>
      <c r="E322" s="95">
        <v>28004</v>
      </c>
      <c r="F322" s="96">
        <v>29405</v>
      </c>
      <c r="G322" s="107">
        <v>1.2</v>
      </c>
      <c r="H322" s="110">
        <v>0.8</v>
      </c>
      <c r="I322" s="108"/>
      <c r="J322" s="108"/>
      <c r="K322" s="108"/>
      <c r="L322" s="63"/>
      <c r="M322" s="120">
        <v>1.4</v>
      </c>
      <c r="N322" s="120">
        <v>1.68</v>
      </c>
      <c r="O322" s="120">
        <v>2.23</v>
      </c>
      <c r="P322" s="121">
        <v>2.57</v>
      </c>
      <c r="Q322" s="122">
        <v>8</v>
      </c>
      <c r="R322" s="123">
        <f>(Q322/12*2*$E322*$G322*$H322*$M322*$R$11)+(Q322/12*10*$F322*$G322*$H322*$M322*$R$11)</f>
        <v>345017.16479999997</v>
      </c>
      <c r="S322" s="124">
        <v>1</v>
      </c>
      <c r="T322" s="125">
        <f>(S322/12*2*$E322*$G322*$H322*$M322*$R$11)+(S322/12*10*$F322*$G322*$H322*$M322*$R$11)</f>
        <v>43127.145599999996</v>
      </c>
      <c r="U322" s="123">
        <v>2</v>
      </c>
      <c r="V322" s="123">
        <f>(U322/12*2*$E322*$G322*$H322*$M322*$V$11)+(U322/12*10*$F322*$G322*$H322*$M322*$V$12)</f>
        <v>105167.48480000001</v>
      </c>
      <c r="W322" s="123"/>
      <c r="X322" s="126">
        <f>(W322/12*2*$E322*$G322*$H322*$M322*$X$11)+(W322/12*10*$F322*$G322*$H322*$M322*$X$12)</f>
        <v>0</v>
      </c>
      <c r="Y322" s="123"/>
      <c r="Z322" s="123">
        <f>(Y322/12*2*$E322*$G322*$H322*$M322*$Z$11)+(Y322/12*10*$F322*$G322*$H322*$M322*$Z$12)</f>
        <v>0</v>
      </c>
      <c r="AA322" s="123"/>
      <c r="AB322" s="123">
        <f>(AA322/12*2*$E322*$G322*$H322*$M322*$AB$11)+(AA322/12*10*$F322*$G322*$H322*$M322*$AB$11)</f>
        <v>0</v>
      </c>
      <c r="AC322" s="123"/>
      <c r="AD322" s="123"/>
      <c r="AE322" s="123"/>
      <c r="AF322" s="127">
        <f>(AE322/12*2*$E322*$G322*$H322*$M322*$AF$11)+(AE322/12*10*$F322*$G322*$H322*$M322*$AF$11)</f>
        <v>0</v>
      </c>
      <c r="AG322" s="123">
        <v>1</v>
      </c>
      <c r="AH322" s="126">
        <f>(AG322/12*2*$E322*$G322*$H322*$M322*$AH$11)+(AG322/12*10*$F322*$G322*$H322*$M322*$AH$11)</f>
        <v>43127.145599999996</v>
      </c>
      <c r="AI322" s="130"/>
      <c r="AJ322" s="123">
        <f>(AI322/12*2*$E322*$G322*$H322*$M322*$AJ$11)+(AI322/12*5*$F322*$G322*$H322*$M322*$AJ$12)+(AI322/12*5*$F322*$G322*$H322*$M322*$AJ$13)</f>
        <v>0</v>
      </c>
      <c r="AK322" s="123">
        <v>4</v>
      </c>
      <c r="AL322" s="123">
        <f>(AK322/12*2*$E322*$G322*$H322*$N322*$AL$11)+(AK322/12*5*$F322*$G322*$H322*$N322*$AL$12)++(AK322/12*5*$F322*$G322*$H322*$N322*$AL$13)</f>
        <v>243067.72223999997</v>
      </c>
      <c r="AM322" s="132">
        <f>12-9</f>
        <v>3</v>
      </c>
      <c r="AN322" s="123">
        <f>(AM322/12*2*$E322*$G322*$H322*$N322*$AN$11)+(AM322/12*10*$F322*$G322*$H322*$N322*$AN$12)</f>
        <v>189301.47263999999</v>
      </c>
      <c r="AO322" s="130"/>
      <c r="AP322" s="127">
        <f>(AO322/12*2*$E322*$G322*$H322*$N322*$AP$11)+(AO322/12*10*$F322*$G322*$H322*$N322*$AP$11)</f>
        <v>0</v>
      </c>
      <c r="AQ322" s="127">
        <v>0</v>
      </c>
      <c r="AR322" s="127">
        <v>0</v>
      </c>
      <c r="AS322" s="123"/>
      <c r="AT322" s="123">
        <f>(AS322/12*2*$E322*$G322*$H322*$M322*$AT$11)+(AS322/12*10*$F322*$G322*$H322*$M322*$AT$11)</f>
        <v>0</v>
      </c>
      <c r="AU322" s="123"/>
      <c r="AV322" s="126">
        <f>(AU322/12*2*$E322*$G322*$H322*$M322*$AV$11)+(AU322/12*10*$F322*$G322*$H322*$M322*$AV$12)</f>
        <v>0</v>
      </c>
      <c r="AW322" s="123"/>
      <c r="AX322" s="123">
        <f>(AW322/12*2*$E322*$G322*$H322*$M322*$AX$11)+(AW322/12*10*$F322*$G322*$H322*$M322*$AX$12)</f>
        <v>0</v>
      </c>
      <c r="AY322" s="123">
        <v>0</v>
      </c>
      <c r="AZ322" s="123">
        <f>(AY322/12*2*$E322*$G322*$H322*$N322*$AZ$11)+(AY322/12*10*$F322*$G322*$H322*$N322*$AZ$11)</f>
        <v>0</v>
      </c>
      <c r="BA322" s="123"/>
      <c r="BB322" s="123">
        <f>(BA322/12*2*$E322*$G322*$H322*$N322*$BB$11)+(BA322/12*10*$F322*$G322*$H322*$N322*$BB$12)</f>
        <v>0</v>
      </c>
      <c r="BC322" s="123"/>
      <c r="BD322" s="126">
        <f>(BC322/12*2*$E322*$G322*$H322*$N322*$BD$11)+(BC322/12*10*$F322*$G322*$H322*$N322*$BD$12)</f>
        <v>0</v>
      </c>
      <c r="BE322" s="123">
        <v>2</v>
      </c>
      <c r="BF322" s="123">
        <f>(BE322/12*10*$F322*$G322*$H322*$N322*$BF$12)</f>
        <v>79040.639999999999</v>
      </c>
      <c r="BG322" s="123"/>
      <c r="BH322" s="123">
        <f>(BG322/12*2*$E322*$G322*$H322*$N322*$BH$11)+(BG322/12*10*$F322*$G322*$H322*$N322*$BH$11)</f>
        <v>0</v>
      </c>
      <c r="BI322" s="123"/>
      <c r="BJ322" s="126">
        <f>(BI322/12*2*$E322*$G322*$H322*$N322*$BJ$11)+(BI322/12*10*$F322*$G322*$H322*$N322*$BJ$11)</f>
        <v>0</v>
      </c>
      <c r="BK322" s="123"/>
      <c r="BL322" s="127">
        <f>(BK322/12*2*$E322*$G322*$H322*$N322*$BL$11)+(BK322/12*10*$F322*$G322*$H322*$N322*$BL$11)</f>
        <v>0</v>
      </c>
      <c r="BM322" s="123"/>
      <c r="BN322" s="123">
        <f>(BM322/12*2*$E322*$G322*$H322*$M322*$BN$11)+(BM322/12*10*$F322*$G322*$H322*$M322*$BN$11)</f>
        <v>0</v>
      </c>
      <c r="BO322" s="123"/>
      <c r="BP322" s="123">
        <f>(BO322/12*2*$E322*$G322*$H322*$M322*$BP$11)+(BO322/12*10*$F322*$G322*$H322*$M322*$BP$12)</f>
        <v>0</v>
      </c>
      <c r="BQ322" s="123"/>
      <c r="BR322" s="123">
        <f>(BQ322/12*2*$E322*$G322*$H322*$M322*$BR$11)+(BQ322/12*10*$F322*$G322*$H322*$M322*$BR$11)</f>
        <v>0</v>
      </c>
      <c r="BS322" s="123"/>
      <c r="BT322" s="123">
        <f>(BS322/12*2*$E322*$G322*$H322*$N322*$BT$11)+(BS322/12*10*$F322*$G322*$H322*$N322*$BT$11)</f>
        <v>0</v>
      </c>
      <c r="BU322" s="123"/>
      <c r="BV322" s="126">
        <f>(BU322/12*2*$E322*$G322*$H322*$M322*$BV$11)+(BU322/12*10*$F322*$G322*$H322*$M322*$BV$11)</f>
        <v>0</v>
      </c>
      <c r="BW322" s="123"/>
      <c r="BX322" s="123">
        <f>(BW322/12*2*$E322*$G322*$H322*$M322*$BX$11)+(BW322/12*10*$F322*$G322*$H322*$M322*$BX$11)</f>
        <v>0</v>
      </c>
      <c r="BY322" s="123"/>
      <c r="BZ322" s="123">
        <f>(BY322/12*2*$E322*$G322*$H322*$M322*$BZ$11)+(BY322/12*10*$F322*$G322*$H322*$M322*$BZ$11)</f>
        <v>0</v>
      </c>
      <c r="CA322" s="123"/>
      <c r="CB322" s="123">
        <f>(CA322/12*2*$E322*$G322*$H322*$M322*$CB$11)+(CA322/12*10*$F322*$G322*$H322*$M322*$CB$11)</f>
        <v>0</v>
      </c>
      <c r="CC322" s="123"/>
      <c r="CD322" s="123">
        <f>(CC322/12*2*$E322*$G322*$H322*$M322*$CD$11)+(CC322/12*10*$F322*$G322*$H322*$M322*$CD$11)</f>
        <v>0</v>
      </c>
      <c r="CE322" s="123"/>
      <c r="CF322" s="123">
        <f>(CE322/12*10*$F322*$G322*$H322*$N322*$CF$11)</f>
        <v>0</v>
      </c>
      <c r="CG322" s="132"/>
      <c r="CH322" s="123">
        <f>(CG322/12*2*$E322*$G322*$H322*$N322*$CH$11)+(CG322/12*10*$F322*$G322*$H322*$N322*$CH$11)</f>
        <v>0</v>
      </c>
      <c r="CI322" s="123"/>
      <c r="CJ322" s="127">
        <f t="shared" si="483"/>
        <v>0</v>
      </c>
      <c r="CK322" s="123"/>
      <c r="CL322" s="123">
        <f>(CK322/12*2*$E322*$G322*$H322*$N322*$CL$11)+(CK322/12*10*$F322*$G322*$H322*$N322*$CL$12)</f>
        <v>0</v>
      </c>
      <c r="CM322" s="130"/>
      <c r="CN322" s="123">
        <f>(CM322/12*2*$E322*$G322*$H322*$N322*$CN$11)+(CM322/12*10*$F322*$G322*$H322*$N322*$CN$11)</f>
        <v>0</v>
      </c>
      <c r="CO322" s="123">
        <v>0</v>
      </c>
      <c r="CP322" s="123">
        <v>0</v>
      </c>
      <c r="CQ322" s="123"/>
      <c r="CR322" s="123">
        <f>(CQ322/12*2*$E322*$G322*$H322*$O322*$CR$11)+(CQ322/12*10*$F322*$G322*$H322*$O322*$CR$11)</f>
        <v>0</v>
      </c>
      <c r="CS322" s="123"/>
      <c r="CT322" s="133">
        <f>(CS322/12*2*$E322*$G322*$H322*$P322*$CT$11)+(CS322/12*10*$F322*$G322*$H322*$P322*$CT$11)</f>
        <v>0</v>
      </c>
      <c r="CU322" s="127"/>
      <c r="CV322" s="123">
        <f t="shared" si="484"/>
        <v>0</v>
      </c>
      <c r="CW322" s="126">
        <f t="shared" si="485"/>
        <v>21</v>
      </c>
      <c r="CX322" s="126">
        <f t="shared" si="485"/>
        <v>1047848.7756800001</v>
      </c>
    </row>
    <row r="323" spans="1:102" s="6" customFormat="1" ht="18.75" customHeight="1" x14ac:dyDescent="0.25">
      <c r="A323" s="91"/>
      <c r="B323" s="116">
        <v>256</v>
      </c>
      <c r="C323" s="117" t="s">
        <v>764</v>
      </c>
      <c r="D323" s="161" t="s">
        <v>765</v>
      </c>
      <c r="E323" s="95">
        <v>28004</v>
      </c>
      <c r="F323" s="96">
        <v>29405</v>
      </c>
      <c r="G323" s="119">
        <v>2.37</v>
      </c>
      <c r="H323" s="110">
        <v>0.85</v>
      </c>
      <c r="I323" s="110">
        <v>0.8</v>
      </c>
      <c r="J323" s="203"/>
      <c r="K323" s="203"/>
      <c r="L323" s="63"/>
      <c r="M323" s="120">
        <v>1.4</v>
      </c>
      <c r="N323" s="120">
        <v>1.68</v>
      </c>
      <c r="O323" s="120">
        <v>2.23</v>
      </c>
      <c r="P323" s="121">
        <v>2.57</v>
      </c>
      <c r="Q323" s="204">
        <v>267</v>
      </c>
      <c r="R323" s="123">
        <f>(Q323/12*2*$E323*$G323*$H323*$M323*$R$11)+(Q323/12*10*$F323*$G323*$I323*$M323*$R$11)</f>
        <v>22969437.076740004</v>
      </c>
      <c r="S323" s="124">
        <v>3</v>
      </c>
      <c r="T323" s="125">
        <f>(S323/12*2*$E323*$G323*$H323*$M323*$R$11)+(S323/12*10*$F323*$G323*$I323*$M323*$R$11)</f>
        <v>258083.56266000005</v>
      </c>
      <c r="U323" s="123"/>
      <c r="V323" s="123">
        <f>(U323/12*2*$E323*$G323*$H323*$M323*$V$11)+(U323/12*10*$F323*$G323*$I323*$M323*$V$12)</f>
        <v>0</v>
      </c>
      <c r="W323" s="123"/>
      <c r="X323" s="126">
        <f>(W323/12*2*$E323*$G323*$H323*$M323*$X$11)+(W323/12*10*$F323*$G323*$I323*$M323*$X$12)</f>
        <v>0</v>
      </c>
      <c r="Y323" s="123"/>
      <c r="Z323" s="123">
        <f>(Y323/12*2*$E323*$G323*$H323*$M323*$Z$11)+(Y323/12*10*$F323*$G323*$I323*$M323*$Z$12)</f>
        <v>0</v>
      </c>
      <c r="AA323" s="123"/>
      <c r="AB323" s="123">
        <f>(AA323/12*2*$E323*$G323*$H323*$M323*$AB$11)+(AA323/12*10*$F323*$G323*$I323*$M323*$AB$11)</f>
        <v>0</v>
      </c>
      <c r="AC323" s="123"/>
      <c r="AD323" s="123"/>
      <c r="AE323" s="123">
        <v>80</v>
      </c>
      <c r="AF323" s="127">
        <f>(AE323/12*2*$E323*$G323*$H323*$M323*$AF$11)+(AE323/12*10*$F323*$G323*$I323*$M323*$AF$11)</f>
        <v>6882228.3376000021</v>
      </c>
      <c r="AG323" s="123">
        <v>1</v>
      </c>
      <c r="AH323" s="126">
        <f>(AG323/12*2*$E323*$G323*$H323*$M323*$AH$11)+(AG323/12*10*$F323*$G323*$I323*$M323*$AH$11)</f>
        <v>86027.854219999994</v>
      </c>
      <c r="AI323" s="130">
        <v>0</v>
      </c>
      <c r="AJ323" s="123">
        <f t="shared" ref="AJ323:AJ326" si="488">(AI323/12*2*$E323*$G323*$H323*$M323*$AJ$11)+(AI323/12*5*$F323*$G323*$I323*$M323*$AJ$12)+(AI323/12*5*$F323*$G323*$I323*$M323*$AJ$13)</f>
        <v>0</v>
      </c>
      <c r="AK323" s="123">
        <v>10</v>
      </c>
      <c r="AL323" s="123">
        <f t="shared" ref="AL323:AL326" si="489">(AK323/12*2*$E323*$G323*$H323*$N323*$AL$11)+(AK323/12*5*$F323*$G323*$I323*$N323*$AL$12)+(AK323/12*5*$F323*$G323*$I323*$N323*$AL$13)</f>
        <v>1212226.1239200002</v>
      </c>
      <c r="AM323" s="132"/>
      <c r="AN323" s="123">
        <f>(AM323/12*2*$E323*$G323*$H323*$N323*$AN$11)+(AM323/12*10*$F323*$G323*$I323*$N323*$AN$12)</f>
        <v>0</v>
      </c>
      <c r="AO323" s="130">
        <v>3</v>
      </c>
      <c r="AP323" s="127">
        <f>(AO323/12*2*$E323*$G323*$H323*$N323*$AP$11)+(AO323/12*10*$F323*$G323*$I323*$N323*$AP$11)</f>
        <v>309700.27519200003</v>
      </c>
      <c r="AQ323" s="127">
        <v>0</v>
      </c>
      <c r="AR323" s="127">
        <v>0</v>
      </c>
      <c r="AS323" s="123"/>
      <c r="AT323" s="123"/>
      <c r="AU323" s="123"/>
      <c r="AV323" s="126"/>
      <c r="AW323" s="123"/>
      <c r="AX323" s="123">
        <f>(AW323/12*2*$E323*$G323*$H323*$M323*$AX$11)+(AW323/12*10*$F323*$G323*$I323*$M323*$AX$12)</f>
        <v>0</v>
      </c>
      <c r="AY323" s="123">
        <v>141</v>
      </c>
      <c r="AZ323" s="123">
        <f>(AY323/12*2*$E323*$G323*$H323*$N323*$AZ$11)+(AY323/12*10*$F323*$G323*$I323*$N323*$AZ$11)</f>
        <v>14555912.934024001</v>
      </c>
      <c r="BA323" s="123"/>
      <c r="BB323" s="123">
        <f>(BA323/12*2*$E323*$G323*$H323*$N323*$BB$11)+(BA323/12*10*$F323*$G323*$I323*$N323*$BB$12)</f>
        <v>0</v>
      </c>
      <c r="BC323" s="123"/>
      <c r="BD323" s="126"/>
      <c r="BE323" s="123">
        <v>1</v>
      </c>
      <c r="BF323" s="123">
        <f>(BE323/12*10*$F323*$G323*$I323*$N323*$BF$12)</f>
        <v>78052.631999999998</v>
      </c>
      <c r="BG323" s="123"/>
      <c r="BH323" s="123">
        <f>(BG323/12*2*$E323*$G323*$H323*$N323*$BH$11)+(BG323/12*10*$F323*$G323*$I323*$N323*$BH$11)</f>
        <v>0</v>
      </c>
      <c r="BI323" s="123"/>
      <c r="BJ323" s="126">
        <f>(BI323/12*2*$E323*$G323*$H323*$N323*$BJ$11)+(BI323/12*10*$F323*$G323*$I323*$N323*$BJ$11)</f>
        <v>0</v>
      </c>
      <c r="BK323" s="123"/>
      <c r="BL323" s="127">
        <f>(BK323/12*2*$E323*$G323*$H323*$N323*$BL$11)+(BK323/12*10*$F323*$G323*$I323*$N323*$BL$11)</f>
        <v>0</v>
      </c>
      <c r="BM323" s="123"/>
      <c r="BN323" s="123">
        <f>(BM323/12*2*$E323*$G323*$H323*$M323*$BN$11)+(BM323/12*10*$F323*$G323*$I323*$M323*$BN$11)</f>
        <v>0</v>
      </c>
      <c r="BO323" s="123"/>
      <c r="BP323" s="123">
        <f>(BO323/12*2*$E323*$G323*$H323*$M323*$BP$11)+(BO323/12*10*$F323*$G323*$I323*$M323*$BP$12)</f>
        <v>0</v>
      </c>
      <c r="BQ323" s="123"/>
      <c r="BR323" s="123">
        <f>(BQ323/12*2*$E323*$G323*$H323*$M323*$BR$11)+(BQ323/12*10*$F323*$G323*$I323*$M323*$BR$11)</f>
        <v>0</v>
      </c>
      <c r="BS323" s="123"/>
      <c r="BT323" s="123">
        <f>(BS323/12*2*$E323*$G323*$H323*$N323*$BT$11)+(BS323/12*10*$F323*$G323*$I323*$N323*$BT$11)</f>
        <v>0</v>
      </c>
      <c r="BU323" s="123"/>
      <c r="BV323" s="126">
        <f>(BU323/12*2*$E323*$G323*$H323*$M323*$BV$11)+(BU323/12*10*$F323*$G323*$I323*$M323*$BV$11)</f>
        <v>0</v>
      </c>
      <c r="BW323" s="123"/>
      <c r="BX323" s="123">
        <f>(BW323/12*2*$E323*$G323*$H323*$M323*$BX$11)+(BW323/12*10*$F323*$G323*$I323*$M323*$BX$11)</f>
        <v>0</v>
      </c>
      <c r="BY323" s="123"/>
      <c r="BZ323" s="123">
        <f>(BY323/12*2*$E323*$G323*$H323*$M323*$BZ$11)+(BY323/12*10*$F323*$G323*$I323*$M323*$BZ$11)</f>
        <v>0</v>
      </c>
      <c r="CA323" s="123"/>
      <c r="CB323" s="123">
        <f>(CA323/12*2*$E323*$G323*$H323*$M323*$CB$11)+(CA323/12*10*$F323*$G323*$I323*$M323*$CB$11)</f>
        <v>0</v>
      </c>
      <c r="CC323" s="123"/>
      <c r="CD323" s="123">
        <f>(CC323/12*2*$E323*$G323*$H323*$M323*$CD$11)+(CC323/12*10*$F323*$G323*$I323*$M323*$CD$11)</f>
        <v>0</v>
      </c>
      <c r="CE323" s="123"/>
      <c r="CF323" s="123">
        <f>(CE323/12*10*$F323*$G323*$I323*$N323*$CF$11)</f>
        <v>0</v>
      </c>
      <c r="CG323" s="132"/>
      <c r="CH323" s="123">
        <f>(CG323/12*2*$E323*$G323*$H323*$N323*$CH$11)+(CG323/12*10*$F323*$G323*$I323*$N323*$CH$11)</f>
        <v>0</v>
      </c>
      <c r="CI323" s="123"/>
      <c r="CJ323" s="127"/>
      <c r="CK323" s="123"/>
      <c r="CL323" s="123">
        <f>(CK323/12*2*$E323*$G323*$H323*$N323*$CL$11)+(CK323/12*10*$F323*$G323*$I323*$N323*$CL$12)</f>
        <v>0</v>
      </c>
      <c r="CM323" s="130"/>
      <c r="CN323" s="123">
        <f>(CM323/12*2*$E323*$G323*$H323*$N323*$CN$11)+(CM323/12*10*$F323*$G323*$I323*$N323*$CN$11)</f>
        <v>0</v>
      </c>
      <c r="CO323" s="123">
        <v>0</v>
      </c>
      <c r="CP323" s="123">
        <v>0</v>
      </c>
      <c r="CQ323" s="123"/>
      <c r="CR323" s="123">
        <f>(CQ323/12*2*$E323*$G323*$H323*$O323*$CR$11)+(CQ323/12*10*$F323*$G323*$I323*$O323*$CR$11)</f>
        <v>0</v>
      </c>
      <c r="CS323" s="123"/>
      <c r="CT323" s="133">
        <f>(CS323/12*2*$E323*$G323*$H323*$P323*$CT$11)+(CS323/12*10*$F323*$G323*$I323*$P323*$CT$11)</f>
        <v>0</v>
      </c>
      <c r="CU323" s="127"/>
      <c r="CV323" s="123"/>
      <c r="CW323" s="126">
        <f t="shared" si="485"/>
        <v>506</v>
      </c>
      <c r="CX323" s="126">
        <f t="shared" si="485"/>
        <v>46351668.796356007</v>
      </c>
    </row>
    <row r="324" spans="1:102" ht="18.75" customHeight="1" x14ac:dyDescent="0.25">
      <c r="A324" s="91"/>
      <c r="B324" s="116">
        <v>257</v>
      </c>
      <c r="C324" s="117" t="s">
        <v>766</v>
      </c>
      <c r="D324" s="161" t="s">
        <v>767</v>
      </c>
      <c r="E324" s="95">
        <v>28004</v>
      </c>
      <c r="F324" s="96">
        <v>29405</v>
      </c>
      <c r="G324" s="119">
        <v>4.13</v>
      </c>
      <c r="H324" s="110">
        <v>0.9</v>
      </c>
      <c r="I324" s="110">
        <v>0.85</v>
      </c>
      <c r="J324" s="203"/>
      <c r="K324" s="203"/>
      <c r="L324" s="63"/>
      <c r="M324" s="120">
        <v>1.4</v>
      </c>
      <c r="N324" s="120">
        <v>1.68</v>
      </c>
      <c r="O324" s="120">
        <v>2.23</v>
      </c>
      <c r="P324" s="121">
        <v>2.57</v>
      </c>
      <c r="Q324" s="204">
        <v>200</v>
      </c>
      <c r="R324" s="123">
        <f>(Q324/12*2*$E324*$G324*$H324*$M324*$R$11)+(Q324/12*10*$F324*$G324*$I324*$M324*$R$11)</f>
        <v>31838069.365666665</v>
      </c>
      <c r="S324" s="124">
        <v>2</v>
      </c>
      <c r="T324" s="125">
        <f>(S324/12*2*$E324*$G324*$H324*$M324*$R$11)+(S324/12*10*$F324*$G324*$I324*$M324*$R$11)</f>
        <v>318380.69365666661</v>
      </c>
      <c r="U324" s="123"/>
      <c r="V324" s="123">
        <f>(U324/12*2*$E324*$G324*$H324*$M324*$V$11)+(U324/12*10*$F324*$G324*$I324*$M324*$V$12)</f>
        <v>0</v>
      </c>
      <c r="W324" s="123"/>
      <c r="X324" s="126">
        <f>(W324/12*2*$E324*$G324*$H324*$M324*$X$11)+(W324/12*10*$F324*$G324*$I324*$M324*$X$12)</f>
        <v>0</v>
      </c>
      <c r="Y324" s="123"/>
      <c r="Z324" s="123">
        <f>(Y324/12*2*$E324*$G324*$H324*$M324*$Z$11)+(Y324/12*10*$F324*$G324*$I324*$M324*$Z$12)</f>
        <v>0</v>
      </c>
      <c r="AA324" s="123"/>
      <c r="AB324" s="123">
        <f>(AA324/12*2*$E324*$G324*$H324*$M324*$AB$11)+(AA324/12*10*$F324*$G324*$I324*$M324*$AB$11)</f>
        <v>0</v>
      </c>
      <c r="AC324" s="123"/>
      <c r="AD324" s="123"/>
      <c r="AE324" s="123">
        <v>15</v>
      </c>
      <c r="AF324" s="123">
        <f>(AE324/12*2*$E324*$G324*$H324*$M324*$AF$11)+(AE324/12*10*$F324*$G324*$I324*$M324*$AF$11)</f>
        <v>2387855.2024250003</v>
      </c>
      <c r="AG324" s="135">
        <v>0</v>
      </c>
      <c r="AH324" s="136">
        <f>(AG324/12*2*$E324*$G324*$H324*$M324*$AH$11)+(AG324/12*10*$F324*$G324*$I324*$M324*$AH$11)</f>
        <v>0</v>
      </c>
      <c r="AI324" s="123"/>
      <c r="AJ324" s="123">
        <f t="shared" si="488"/>
        <v>0</v>
      </c>
      <c r="AK324" s="123">
        <v>1</v>
      </c>
      <c r="AL324" s="123">
        <f t="shared" si="489"/>
        <v>224315.68796699995</v>
      </c>
      <c r="AM324" s="132"/>
      <c r="AN324" s="123">
        <f>(AM324/12*2*$E324*$G324*$H324*$N324*$AN$11)+(AM324/12*10*$F324*$G324*$I324*$N324*$AN$12)</f>
        <v>0</v>
      </c>
      <c r="AO324" s="130"/>
      <c r="AP324" s="127">
        <f>(AO324/12*2*$E324*$G324*$H324*$N324*$AP$11)+(AO324/12*10*$F324*$G324*$I324*$N324*$AP$11)</f>
        <v>0</v>
      </c>
      <c r="AQ324" s="127">
        <v>0</v>
      </c>
      <c r="AR324" s="127">
        <v>0</v>
      </c>
      <c r="AS324" s="123"/>
      <c r="AT324" s="123"/>
      <c r="AU324" s="123"/>
      <c r="AV324" s="126"/>
      <c r="AW324" s="123"/>
      <c r="AX324" s="123">
        <f>(AW324/12*2*$E324*$G324*$H324*$M324*$AX$11)+(AW324/12*10*$F324*$G324*$I324*$M324*$AX$12)</f>
        <v>0</v>
      </c>
      <c r="AY324" s="123">
        <v>36</v>
      </c>
      <c r="AZ324" s="123">
        <f>(AY324/12*2*$E324*$G324*$H324*$N324*$AZ$11)+(AY324/12*10*$F324*$G324*$I324*$N324*$AZ$11)</f>
        <v>6877022.9829839999</v>
      </c>
      <c r="BA324" s="123"/>
      <c r="BB324" s="123">
        <f>(BA324/12*2*$E324*$G324*$H324*$N324*$BB$11)+(BA324/12*10*$F324*$G324*$I324*$N324*$BB$12)</f>
        <v>0</v>
      </c>
      <c r="BC324" s="123"/>
      <c r="BD324" s="126"/>
      <c r="BE324" s="123"/>
      <c r="BF324" s="123">
        <f>(BE324/12*10*$F324*$G324*$I324*$N324*$BF$12)</f>
        <v>0</v>
      </c>
      <c r="BG324" s="123"/>
      <c r="BH324" s="123">
        <f>(BG324/12*2*$E324*$G324*$H324*$N324*$BH$11)+(BG324/12*10*$F324*$G324*$I324*$N324*$BH$11)</f>
        <v>0</v>
      </c>
      <c r="BI324" s="123"/>
      <c r="BJ324" s="126">
        <f>(BI324/12*2*$E324*$G324*$H324*$N324*$BJ$11)+(BI324/12*10*$F324*$G324*$I324*$N324*$BJ$11)</f>
        <v>0</v>
      </c>
      <c r="BK324" s="123"/>
      <c r="BL324" s="127">
        <f>(BK324/12*2*$E324*$G324*$H324*$N324*$BL$11)+(BK324/12*10*$F324*$G324*$I324*$N324*$BL$11)</f>
        <v>0</v>
      </c>
      <c r="BM324" s="123"/>
      <c r="BN324" s="123">
        <f>(BM324/12*2*$E324*$G324*$H324*$M324*$BN$11)+(BM324/12*10*$F324*$G324*$I324*$M324*$BN$11)</f>
        <v>0</v>
      </c>
      <c r="BO324" s="123"/>
      <c r="BP324" s="123">
        <f>(BO324/12*2*$E324*$G324*$H324*$M324*$BP$11)+(BO324/12*10*$F324*$G324*$I324*$M324*$BP$12)</f>
        <v>0</v>
      </c>
      <c r="BQ324" s="123"/>
      <c r="BR324" s="123">
        <f>(BQ324/12*2*$E324*$G324*$H324*$M324*$BR$11)+(BQ324/12*10*$F324*$G324*$I324*$M324*$BR$11)</f>
        <v>0</v>
      </c>
      <c r="BS324" s="123"/>
      <c r="BT324" s="123">
        <f>(BS324/12*2*$E324*$G324*$H324*$N324*$BT$11)+(BS324/12*10*$F324*$G324*$I324*$N324*$BT$11)</f>
        <v>0</v>
      </c>
      <c r="BU324" s="123"/>
      <c r="BV324" s="126">
        <f>(BU324/12*2*$E324*$G324*$H324*$M324*$BV$11)+(BU324/12*10*$F324*$G324*$I324*$M324*$BV$11)</f>
        <v>0</v>
      </c>
      <c r="BW324" s="123"/>
      <c r="BX324" s="123">
        <f>(BW324/12*2*$E324*$G324*$H324*$M324*$BX$11)+(BW324/12*10*$F324*$G324*$I324*$M324*$BX$11)</f>
        <v>0</v>
      </c>
      <c r="BY324" s="123"/>
      <c r="BZ324" s="123">
        <f>(BY324/12*2*$E324*$G324*$H324*$M324*$BZ$11)+(BY324/12*10*$F324*$G324*$I324*$M324*$BZ$11)</f>
        <v>0</v>
      </c>
      <c r="CA324" s="123"/>
      <c r="CB324" s="123">
        <f>(CA324/12*2*$E324*$G324*$H324*$M324*$CB$11)+(CA324/12*10*$F324*$G324*$I324*$M324*$CB$11)</f>
        <v>0</v>
      </c>
      <c r="CC324" s="123"/>
      <c r="CD324" s="123">
        <f>(CC324/12*2*$E324*$G324*$H324*$M324*$CD$11)+(CC324/12*10*$F324*$G324*$I324*$M324*$CD$11)</f>
        <v>0</v>
      </c>
      <c r="CE324" s="123"/>
      <c r="CF324" s="123">
        <f>(CE324/12*10*$F324*$G324*$I324*$N324*$CF$11)</f>
        <v>0</v>
      </c>
      <c r="CG324" s="132"/>
      <c r="CH324" s="123">
        <f>(CG324/12*2*$E324*$G324*$H324*$N324*$CH$11)+(CG324/12*10*$F324*$G324*$I324*$N324*$CH$11)</f>
        <v>0</v>
      </c>
      <c r="CI324" s="123"/>
      <c r="CJ324" s="127"/>
      <c r="CK324" s="123"/>
      <c r="CL324" s="123">
        <f>(CK324/12*2*$E324*$G324*$H324*$N324*$CL$11)+(CK324/12*10*$F324*$G324*$I324*$N324*$CL$12)</f>
        <v>0</v>
      </c>
      <c r="CM324" s="130"/>
      <c r="CN324" s="123">
        <f>(CM324/12*2*$E324*$G324*$H324*$N324*$CN$11)+(CM324/12*10*$F324*$G324*$I324*$N324*$CN$11)</f>
        <v>0</v>
      </c>
      <c r="CO324" s="123">
        <v>0</v>
      </c>
      <c r="CP324" s="123">
        <v>0</v>
      </c>
      <c r="CQ324" s="123"/>
      <c r="CR324" s="123">
        <f>(CQ324/12*2*$E324*$G324*$H324*$O324*$CR$11)+(CQ324/12*10*$F324*$G324*$I324*$O324*$CR$11)</f>
        <v>0</v>
      </c>
      <c r="CS324" s="123"/>
      <c r="CT324" s="133">
        <f>(CS324/12*2*$E324*$G324*$H324*$P324*$CT$11)+(CS324/12*10*$F324*$G324*$I324*$P324*$CT$11)</f>
        <v>0</v>
      </c>
      <c r="CU324" s="127"/>
      <c r="CV324" s="123"/>
      <c r="CW324" s="126">
        <f t="shared" si="485"/>
        <v>254</v>
      </c>
      <c r="CX324" s="126">
        <f t="shared" si="485"/>
        <v>41645643.932699338</v>
      </c>
    </row>
    <row r="325" spans="1:102" ht="18.75" customHeight="1" x14ac:dyDescent="0.25">
      <c r="A325" s="91"/>
      <c r="B325" s="116">
        <v>258</v>
      </c>
      <c r="C325" s="117" t="s">
        <v>768</v>
      </c>
      <c r="D325" s="161" t="s">
        <v>769</v>
      </c>
      <c r="E325" s="95">
        <v>28004</v>
      </c>
      <c r="F325" s="96">
        <v>29405</v>
      </c>
      <c r="G325" s="119">
        <v>6.08</v>
      </c>
      <c r="H325" s="110">
        <v>0.9</v>
      </c>
      <c r="I325" s="110">
        <v>0.85</v>
      </c>
      <c r="J325" s="203"/>
      <c r="K325" s="203"/>
      <c r="L325" s="63"/>
      <c r="M325" s="120">
        <v>1.4</v>
      </c>
      <c r="N325" s="120">
        <v>1.68</v>
      </c>
      <c r="O325" s="120">
        <v>2.23</v>
      </c>
      <c r="P325" s="121">
        <v>2.57</v>
      </c>
      <c r="Q325" s="204">
        <v>168</v>
      </c>
      <c r="R325" s="123">
        <f>(Q325/12*2*$E325*$G325*$H325*$M325*$R$11)+(Q325/12*10*$F325*$G325*$I325*$M325*$R$11)</f>
        <v>39371280.354559995</v>
      </c>
      <c r="S325" s="124">
        <v>9</v>
      </c>
      <c r="T325" s="125">
        <f>(S325/12*2*$E325*$G325*$H325*$M325*$R$11)+(S325/12*10*$F325*$G325*$I325*$M325*$R$11)</f>
        <v>2109175.7332800003</v>
      </c>
      <c r="U325" s="123"/>
      <c r="V325" s="123">
        <f>(U325/12*2*$E325*$G325*$H325*$M325*$V$11)+(U325/12*10*$F325*$G325*$I325*$M325*$V$12)</f>
        <v>0</v>
      </c>
      <c r="W325" s="123"/>
      <c r="X325" s="126">
        <f>(W325/12*2*$E325*$G325*$H325*$M325*$X$11)+(W325/12*10*$F325*$G325*$I325*$M325*$X$12)</f>
        <v>0</v>
      </c>
      <c r="Y325" s="123"/>
      <c r="Z325" s="123">
        <f>(Y325/12*2*$E325*$G325*$H325*$M325*$Z$11)+(Y325/12*10*$F325*$G325*$I325*$M325*$Z$12)</f>
        <v>0</v>
      </c>
      <c r="AA325" s="123"/>
      <c r="AB325" s="123">
        <f>(AA325/12*2*$E325*$G325*$H325*$M325*$AB$11)+(AA325/12*10*$F325*$G325*$I325*$M325*$AB$11)</f>
        <v>0</v>
      </c>
      <c r="AC325" s="123"/>
      <c r="AD325" s="123"/>
      <c r="AE325" s="123">
        <v>2</v>
      </c>
      <c r="AF325" s="123">
        <f>(AE325/12*2*$E325*$G325*$H325*$M325*$AF$11)+(AE325/12*10*$F325*$G325*$I325*$M325*$AF$11)</f>
        <v>468705.7185066666</v>
      </c>
      <c r="AG325" s="123">
        <v>0</v>
      </c>
      <c r="AH325" s="126">
        <f>(AG325/12*2*$E325*$G325*$H325*$M325*$AH$11)+(AG325/12*10*$F325*$G325*$I325*$M325*$AH$11)</f>
        <v>0</v>
      </c>
      <c r="AI325" s="123">
        <v>2</v>
      </c>
      <c r="AJ325" s="123">
        <f t="shared" si="488"/>
        <v>550379.0891199999</v>
      </c>
      <c r="AK325" s="123"/>
      <c r="AL325" s="123">
        <f t="shared" si="489"/>
        <v>0</v>
      </c>
      <c r="AM325" s="132"/>
      <c r="AN325" s="123">
        <f>(AM325/12*2*$E325*$G325*$H325*$N325*$AN$11)+(AM325/12*10*$F325*$G325*$I325*$N325*$AN$12)</f>
        <v>0</v>
      </c>
      <c r="AO325" s="130"/>
      <c r="AP325" s="127">
        <f>(AO325/12*2*$E325*$G325*$H325*$N325*$AP$11)+(AO325/12*10*$F325*$G325*$I325*$N325*$AP$11)</f>
        <v>0</v>
      </c>
      <c r="AQ325" s="127">
        <v>0</v>
      </c>
      <c r="AR325" s="127">
        <v>0</v>
      </c>
      <c r="AS325" s="123"/>
      <c r="AT325" s="123"/>
      <c r="AU325" s="123"/>
      <c r="AV325" s="126"/>
      <c r="AW325" s="123"/>
      <c r="AX325" s="123">
        <f>(AW325/12*2*$E325*$G325*$H325*$M325*$AX$11)+(AW325/12*10*$F325*$G325*$I325*$M325*$AX$12)</f>
        <v>0</v>
      </c>
      <c r="AY325" s="123">
        <v>17</v>
      </c>
      <c r="AZ325" s="123">
        <f>(AY325/12*2*$E325*$G325*$H325*$N325*$AZ$11)+(AY325/12*10*$F325*$G325*$I325*$N325*$AZ$11)</f>
        <v>4780798.3287680009</v>
      </c>
      <c r="BA325" s="123"/>
      <c r="BB325" s="123">
        <f>(BA325/12*2*$E325*$G325*$H325*$N325*$BB$11)+(BA325/12*10*$F325*$G325*$I325*$N325*$BB$12)</f>
        <v>0</v>
      </c>
      <c r="BC325" s="123"/>
      <c r="BD325" s="126"/>
      <c r="BE325" s="123"/>
      <c r="BF325" s="123">
        <f>(BE325/12*10*$F325*$G325*$I325*$N325*$BF$12)</f>
        <v>0</v>
      </c>
      <c r="BG325" s="123"/>
      <c r="BH325" s="123">
        <f>(BG325/12*2*$E325*$G325*$H325*$N325*$BH$11)+(BG325/12*10*$F325*$G325*$I325*$N325*$BH$11)</f>
        <v>0</v>
      </c>
      <c r="BI325" s="123"/>
      <c r="BJ325" s="126">
        <f>(BI325/12*2*$E325*$G325*$H325*$N325*$BJ$11)+(BI325/12*10*$F325*$G325*$I325*$N325*$BJ$11)</f>
        <v>0</v>
      </c>
      <c r="BK325" s="123"/>
      <c r="BL325" s="127">
        <f>(BK325/12*2*$E325*$G325*$H325*$N325*$BL$11)+(BK325/12*10*$F325*$G325*$I325*$N325*$BL$11)</f>
        <v>0</v>
      </c>
      <c r="BM325" s="123"/>
      <c r="BN325" s="123">
        <f>(BM325/12*2*$E325*$G325*$H325*$M325*$BN$11)+(BM325/12*10*$F325*$G325*$I325*$M325*$BN$11)</f>
        <v>0</v>
      </c>
      <c r="BO325" s="123"/>
      <c r="BP325" s="123">
        <f>(BO325/12*2*$E325*$G325*$H325*$M325*$BP$11)+(BO325/12*10*$F325*$G325*$I325*$M325*$BP$12)</f>
        <v>0</v>
      </c>
      <c r="BQ325" s="123"/>
      <c r="BR325" s="123">
        <f>(BQ325/12*2*$E325*$G325*$H325*$M325*$BR$11)+(BQ325/12*10*$F325*$G325*$I325*$M325*$BR$11)</f>
        <v>0</v>
      </c>
      <c r="BS325" s="123"/>
      <c r="BT325" s="123">
        <f>(BS325/12*2*$E325*$G325*$H325*$N325*$BT$11)+(BS325/12*10*$F325*$G325*$I325*$N325*$BT$11)</f>
        <v>0</v>
      </c>
      <c r="BU325" s="123"/>
      <c r="BV325" s="126">
        <f>(BU325/12*2*$E325*$G325*$H325*$M325*$BV$11)+(BU325/12*10*$F325*$G325*$I325*$M325*$BV$11)</f>
        <v>0</v>
      </c>
      <c r="BW325" s="123"/>
      <c r="BX325" s="123">
        <f>(BW325/12*2*$E325*$G325*$H325*$M325*$BX$11)+(BW325/12*10*$F325*$G325*$I325*$M325*$BX$11)</f>
        <v>0</v>
      </c>
      <c r="BY325" s="123"/>
      <c r="BZ325" s="123">
        <f>(BY325/12*2*$E325*$G325*$H325*$M325*$BZ$11)+(BY325/12*10*$F325*$G325*$I325*$M325*$BZ$11)</f>
        <v>0</v>
      </c>
      <c r="CA325" s="123"/>
      <c r="CB325" s="123">
        <f>(CA325/12*2*$E325*$G325*$H325*$M325*$CB$11)+(CA325/12*10*$F325*$G325*$I325*$M325*$CB$11)</f>
        <v>0</v>
      </c>
      <c r="CC325" s="123"/>
      <c r="CD325" s="123">
        <f>(CC325/12*2*$E325*$G325*$H325*$M325*$CD$11)+(CC325/12*10*$F325*$G325*$I325*$M325*$CD$11)</f>
        <v>0</v>
      </c>
      <c r="CE325" s="123"/>
      <c r="CF325" s="123">
        <f>(CE325/12*10*$F325*$G325*$I325*$N325*$CF$11)</f>
        <v>0</v>
      </c>
      <c r="CG325" s="132"/>
      <c r="CH325" s="123">
        <f>(CG325/12*2*$E325*$G325*$H325*$N325*$CH$11)+(CG325/12*10*$F325*$G325*$I325*$N325*$CH$11)</f>
        <v>0</v>
      </c>
      <c r="CI325" s="123"/>
      <c r="CJ325" s="127"/>
      <c r="CK325" s="123"/>
      <c r="CL325" s="123">
        <f>(CK325/12*2*$E325*$G325*$H325*$N325*$CL$11)+(CK325/12*10*$F325*$G325*$I325*$N325*$CL$12)</f>
        <v>0</v>
      </c>
      <c r="CM325" s="130"/>
      <c r="CN325" s="123">
        <f>(CM325/12*2*$E325*$G325*$H325*$N325*$CN$11)+(CM325/12*10*$F325*$G325*$I325*$N325*$CN$11)</f>
        <v>0</v>
      </c>
      <c r="CO325" s="123">
        <v>4</v>
      </c>
      <c r="CP325" s="123">
        <v>869841.94</v>
      </c>
      <c r="CQ325" s="123"/>
      <c r="CR325" s="123">
        <f>(CQ325/12*2*$E325*$G325*$H325*$O325*$CR$11)+(CQ325/12*10*$F325*$G325*$I325*$O325*$CR$11)</f>
        <v>0</v>
      </c>
      <c r="CS325" s="123"/>
      <c r="CT325" s="133">
        <f>(CS325/12*2*$E325*$G325*$H325*$P325*$CT$11)+(CS325/12*10*$F325*$G325*$I325*$P325*$CT$11)</f>
        <v>0</v>
      </c>
      <c r="CU325" s="127"/>
      <c r="CV325" s="123"/>
      <c r="CW325" s="126">
        <f t="shared" si="485"/>
        <v>202</v>
      </c>
      <c r="CX325" s="126">
        <f t="shared" si="485"/>
        <v>48150181.164234661</v>
      </c>
    </row>
    <row r="326" spans="1:102" ht="21.75" customHeight="1" x14ac:dyDescent="0.25">
      <c r="A326" s="91"/>
      <c r="B326" s="116">
        <v>259</v>
      </c>
      <c r="C326" s="117" t="s">
        <v>770</v>
      </c>
      <c r="D326" s="161" t="s">
        <v>771</v>
      </c>
      <c r="E326" s="95">
        <v>28004</v>
      </c>
      <c r="F326" s="96">
        <v>29405</v>
      </c>
      <c r="G326" s="119">
        <v>7.12</v>
      </c>
      <c r="H326" s="110">
        <v>0.9</v>
      </c>
      <c r="I326" s="110">
        <v>0.85</v>
      </c>
      <c r="J326" s="203"/>
      <c r="K326" s="203"/>
      <c r="L326" s="63"/>
      <c r="M326" s="120">
        <v>1.4</v>
      </c>
      <c r="N326" s="120">
        <v>1.68</v>
      </c>
      <c r="O326" s="120">
        <v>2.23</v>
      </c>
      <c r="P326" s="121">
        <v>2.57</v>
      </c>
      <c r="Q326" s="204">
        <v>90</v>
      </c>
      <c r="R326" s="123">
        <f>(Q326/12*2*$E326*$G326*$H326*$M326*$R$11)+(Q326/12*10*$F326*$G326*$I326*$M326*$R$11)</f>
        <v>24699557.929200001</v>
      </c>
      <c r="S326" s="124">
        <v>7</v>
      </c>
      <c r="T326" s="125">
        <f>(S326/12*2*$E326*$G326*$H326*$M326*$R$11)+(S326/12*10*$F326*$G326*$I326*$M326*$R$11)</f>
        <v>1921076.7278266668</v>
      </c>
      <c r="U326" s="123">
        <v>2</v>
      </c>
      <c r="V326" s="123">
        <f>(U326/12*2*$E326*$G326*$H326*$M326*$V$11)+(U326/12*10*$F326*$G326*$I326*$M326*$V$12)</f>
        <v>669506.7091066665</v>
      </c>
      <c r="W326" s="123"/>
      <c r="X326" s="126">
        <f>(W326/12*2*$E326*$G326*$H326*$M326*$X$11)+(W326/12*10*$F326*$G326*$I326*$M326*$X$12)</f>
        <v>0</v>
      </c>
      <c r="Y326" s="123">
        <v>6</v>
      </c>
      <c r="Z326" s="123">
        <f>(Y326/12*2*$E326*$G326*$H326*$M326*$Z$11)+(Y326/12*10*$F326*$G326*$I326*$M326*$Z$12)</f>
        <v>2008520.12732</v>
      </c>
      <c r="AA326" s="123"/>
      <c r="AB326" s="123">
        <f>(AA326/12*2*$E326*$G326*$H326*$M326*$AB$11)+(AA326/12*10*$F326*$G326*$I326*$M326*$AB$11)</f>
        <v>0</v>
      </c>
      <c r="AC326" s="123"/>
      <c r="AD326" s="123"/>
      <c r="AE326" s="123">
        <v>4</v>
      </c>
      <c r="AF326" s="123">
        <f>(AE326/12*2*$E326*$G326*$H326*$M326*$AF$11)+(AE326/12*10*$F326*$G326*$I326*$M326*$AF$11)</f>
        <v>1097758.1301866665</v>
      </c>
      <c r="AG326" s="123"/>
      <c r="AH326" s="126">
        <f>(AG326/12*2*$E326*$G326*$H326*$M326*$AH$11)+(AG326/12*10*$F326*$G326*$I326*$M326*$AH$11)</f>
        <v>0</v>
      </c>
      <c r="AI326" s="123"/>
      <c r="AJ326" s="123">
        <f t="shared" si="488"/>
        <v>0</v>
      </c>
      <c r="AK326" s="123">
        <v>3</v>
      </c>
      <c r="AL326" s="123">
        <f t="shared" si="489"/>
        <v>1160141.1852239999</v>
      </c>
      <c r="AM326" s="132"/>
      <c r="AN326" s="123">
        <f>(AM326/12*2*$E326*$G326*$H326*$N326*$AN$11)+(AM326/12*10*$F326*$G326*$I326*$N326*$AN$12)</f>
        <v>0</v>
      </c>
      <c r="AO326" s="130"/>
      <c r="AP326" s="127">
        <f>(AO326/12*2*$E326*$G326*$H326*$N326*$AP$11)+(AO326/12*10*$F326*$G326*$I326*$N326*$AP$11)</f>
        <v>0</v>
      </c>
      <c r="AQ326" s="127">
        <v>0</v>
      </c>
      <c r="AR326" s="127">
        <v>0</v>
      </c>
      <c r="AS326" s="123"/>
      <c r="AT326" s="123"/>
      <c r="AU326" s="123"/>
      <c r="AV326" s="126"/>
      <c r="AW326" s="123"/>
      <c r="AX326" s="123">
        <f>(AW326/12*2*$E326*$G326*$H326*$M326*$AX$11)+(AW326/12*10*$F326*$G326*$I326*$M326*$AX$12)</f>
        <v>0</v>
      </c>
      <c r="AY326" s="123">
        <v>30</v>
      </c>
      <c r="AZ326" s="123">
        <f>(AY326/12*2*$E326*$G326*$H326*$N326*$AZ$11)+(AY326/12*10*$F326*$G326*$I326*$N326*$AZ$11)</f>
        <v>9879823.1716800015</v>
      </c>
      <c r="BA326" s="123"/>
      <c r="BB326" s="123">
        <f>(BA326/12*2*$E326*$G326*$H326*$N326*$BB$11)+(BA326/12*10*$F326*$G326*$I326*$N326*$BB$12)</f>
        <v>0</v>
      </c>
      <c r="BC326" s="123"/>
      <c r="BD326" s="126"/>
      <c r="BE326" s="123"/>
      <c r="BF326" s="123">
        <f>(BE326/12*10*$F326*$G326*$I326*$N326*$BF$12)</f>
        <v>0</v>
      </c>
      <c r="BG326" s="123"/>
      <c r="BH326" s="123">
        <f>(BG326/12*2*$E326*$G326*$H326*$N326*$BH$11)+(BG326/12*10*$F326*$G326*$I326*$N326*$BH$11)</f>
        <v>0</v>
      </c>
      <c r="BI326" s="123"/>
      <c r="BJ326" s="126">
        <f>(BI326/12*2*$E326*$G326*$H326*$N326*$BJ$11)+(BI326/12*10*$F326*$G326*$I326*$N326*$BJ$11)</f>
        <v>0</v>
      </c>
      <c r="BK326" s="123">
        <v>16</v>
      </c>
      <c r="BL326" s="127">
        <f>(BK326/12*2*$E326*$G326*$H326*$N326*$BL$11)+(BK326/12*10*$F326*$G326*$I326*$N326*$BL$11)</f>
        <v>5748260.7544319993</v>
      </c>
      <c r="BM326" s="123"/>
      <c r="BN326" s="123">
        <f>(BM326/12*2*$E326*$G326*$H326*$M326*$BN$11)+(BM326/12*10*$F326*$G326*$I326*$M326*$BN$11)</f>
        <v>0</v>
      </c>
      <c r="BO326" s="123"/>
      <c r="BP326" s="123">
        <f>(BO326/12*2*$E326*$G326*$H326*$M326*$BP$11)+(BO326/12*10*$F326*$G326*$I326*$M326*$BP$12)</f>
        <v>0</v>
      </c>
      <c r="BQ326" s="123"/>
      <c r="BR326" s="123">
        <f>(BQ326/12*2*$E326*$G326*$H326*$M326*$BR$11)+(BQ326/12*10*$F326*$G326*$I326*$M326*$BR$11)</f>
        <v>0</v>
      </c>
      <c r="BS326" s="123"/>
      <c r="BT326" s="123">
        <f>(BS326/12*2*$E326*$G326*$H326*$N326*$BT$11)+(BS326/12*10*$F326*$G326*$I326*$N326*$BT$11)</f>
        <v>0</v>
      </c>
      <c r="BU326" s="123"/>
      <c r="BV326" s="126">
        <f>(BU326/12*2*$E326*$G326*$H326*$M326*$BV$11)+(BU326/12*10*$F326*$G326*$I326*$M326*$BV$11)</f>
        <v>0</v>
      </c>
      <c r="BW326" s="123"/>
      <c r="BX326" s="123">
        <f>(BW326/12*2*$E326*$G326*$H326*$M326*$BX$11)+(BW326/12*10*$F326*$G326*$I326*$M326*$BX$11)</f>
        <v>0</v>
      </c>
      <c r="BY326" s="123"/>
      <c r="BZ326" s="123">
        <f>(BY326/12*2*$E326*$G326*$H326*$M326*$BZ$11)+(BY326/12*10*$F326*$G326*$I326*$M326*$BZ$11)</f>
        <v>0</v>
      </c>
      <c r="CA326" s="123"/>
      <c r="CB326" s="123">
        <f>(CA326/12*2*$E326*$G326*$H326*$M326*$CB$11)+(CA326/12*10*$F326*$G326*$I326*$M326*$CB$11)</f>
        <v>0</v>
      </c>
      <c r="CC326" s="123"/>
      <c r="CD326" s="123">
        <f>(CC326/12*2*$E326*$G326*$H326*$M326*$CD$11)+(CC326/12*10*$F326*$G326*$I326*$M326*$CD$11)</f>
        <v>0</v>
      </c>
      <c r="CE326" s="123"/>
      <c r="CF326" s="123">
        <f>(CE326/12*10*$F326*$G326*$I326*$N326*$CF$11)</f>
        <v>0</v>
      </c>
      <c r="CG326" s="132"/>
      <c r="CH326" s="123">
        <f>(CG326/12*2*$E326*$G326*$H326*$N326*$CH$11)+(CG326/12*10*$F326*$G326*$I326*$N326*$CH$11)</f>
        <v>0</v>
      </c>
      <c r="CI326" s="123"/>
      <c r="CJ326" s="127"/>
      <c r="CK326" s="123"/>
      <c r="CL326" s="123">
        <f>(CK326/12*2*$E326*$G326*$H326*$N326*$CL$11)+(CK326/12*10*$F326*$G326*$I326*$N326*$CL$12)</f>
        <v>0</v>
      </c>
      <c r="CM326" s="130"/>
      <c r="CN326" s="123">
        <f>(CM326/12*2*$E326*$G326*$H326*$N326*$CN$11)+(CM326/12*10*$F326*$G326*$I326*$N326*$CN$11)</f>
        <v>0</v>
      </c>
      <c r="CO326" s="123"/>
      <c r="CP326" s="123">
        <f>(CO326/12*2*$E326*$G326*$H326*$N326*$CP$11)+(CO326/12*10*$F326*$G326*$I326*$N326*$CP$11)</f>
        <v>0</v>
      </c>
      <c r="CQ326" s="123"/>
      <c r="CR326" s="123">
        <f>(CQ326/12*2*$E326*$G326*$H326*$O326*$CR$11)+(CQ326/12*10*$F326*$G326*$I326*$O326*$CR$11)</f>
        <v>0</v>
      </c>
      <c r="CS326" s="123"/>
      <c r="CT326" s="133">
        <f>(CS326/12*2*$E326*$G326*$H326*$P326*$CT$11)+(CS326/12*10*$F326*$G326*$I326*$P326*$CT$11)</f>
        <v>0</v>
      </c>
      <c r="CU326" s="127"/>
      <c r="CV326" s="123"/>
      <c r="CW326" s="126">
        <f t="shared" si="485"/>
        <v>158</v>
      </c>
      <c r="CX326" s="126">
        <f t="shared" si="485"/>
        <v>47184644.734975994</v>
      </c>
    </row>
    <row r="327" spans="1:102" ht="15.75" customHeight="1" x14ac:dyDescent="0.25">
      <c r="A327" s="109">
        <v>26</v>
      </c>
      <c r="B327" s="92"/>
      <c r="C327" s="93" t="s">
        <v>772</v>
      </c>
      <c r="D327" s="164" t="s">
        <v>773</v>
      </c>
      <c r="E327" s="95">
        <v>28004</v>
      </c>
      <c r="F327" s="96">
        <v>29405</v>
      </c>
      <c r="G327" s="226">
        <v>0.79</v>
      </c>
      <c r="H327" s="166"/>
      <c r="I327" s="108"/>
      <c r="J327" s="108"/>
      <c r="K327" s="108"/>
      <c r="L327" s="111"/>
      <c r="M327" s="112">
        <v>1.4</v>
      </c>
      <c r="N327" s="112">
        <v>1.68</v>
      </c>
      <c r="O327" s="112">
        <v>2.23</v>
      </c>
      <c r="P327" s="113">
        <v>2.57</v>
      </c>
      <c r="Q327" s="103">
        <f>SUM(Q328)</f>
        <v>46</v>
      </c>
      <c r="R327" s="104">
        <f>SUM(R328)</f>
        <v>1632542.1574000001</v>
      </c>
      <c r="S327" s="114">
        <f t="shared" ref="S327:CD327" si="490">SUM(S328)</f>
        <v>0</v>
      </c>
      <c r="T327" s="115">
        <f t="shared" si="490"/>
        <v>0</v>
      </c>
      <c r="U327" s="104">
        <f t="shared" si="490"/>
        <v>1</v>
      </c>
      <c r="V327" s="104">
        <f t="shared" si="490"/>
        <v>43272.038016666658</v>
      </c>
      <c r="W327" s="104">
        <f t="shared" si="490"/>
        <v>0</v>
      </c>
      <c r="X327" s="104">
        <f t="shared" si="490"/>
        <v>0</v>
      </c>
      <c r="Y327" s="104">
        <f t="shared" si="490"/>
        <v>0</v>
      </c>
      <c r="Z327" s="104">
        <f t="shared" si="490"/>
        <v>0</v>
      </c>
      <c r="AA327" s="104">
        <f t="shared" si="490"/>
        <v>0</v>
      </c>
      <c r="AB327" s="104">
        <f t="shared" si="490"/>
        <v>0</v>
      </c>
      <c r="AC327" s="104">
        <f t="shared" si="490"/>
        <v>0</v>
      </c>
      <c r="AD327" s="104">
        <f t="shared" si="490"/>
        <v>0</v>
      </c>
      <c r="AE327" s="104">
        <f t="shared" si="490"/>
        <v>0</v>
      </c>
      <c r="AF327" s="104">
        <f t="shared" si="490"/>
        <v>0</v>
      </c>
      <c r="AG327" s="104">
        <f t="shared" si="490"/>
        <v>0</v>
      </c>
      <c r="AH327" s="104">
        <f t="shared" si="490"/>
        <v>0</v>
      </c>
      <c r="AI327" s="104">
        <f t="shared" si="490"/>
        <v>0</v>
      </c>
      <c r="AJ327" s="104">
        <f t="shared" si="490"/>
        <v>0</v>
      </c>
      <c r="AK327" s="104">
        <f t="shared" si="490"/>
        <v>0</v>
      </c>
      <c r="AL327" s="104">
        <f t="shared" si="490"/>
        <v>0</v>
      </c>
      <c r="AM327" s="104">
        <f t="shared" si="490"/>
        <v>0</v>
      </c>
      <c r="AN327" s="104">
        <f t="shared" si="490"/>
        <v>0</v>
      </c>
      <c r="AO327" s="106">
        <f t="shared" si="490"/>
        <v>0</v>
      </c>
      <c r="AP327" s="104">
        <f t="shared" si="490"/>
        <v>0</v>
      </c>
      <c r="AQ327" s="104">
        <v>0</v>
      </c>
      <c r="AR327" s="104">
        <v>0</v>
      </c>
      <c r="AS327" s="104">
        <f t="shared" si="490"/>
        <v>0</v>
      </c>
      <c r="AT327" s="104">
        <f t="shared" si="490"/>
        <v>0</v>
      </c>
      <c r="AU327" s="104">
        <f t="shared" si="490"/>
        <v>0</v>
      </c>
      <c r="AV327" s="104">
        <f t="shared" si="490"/>
        <v>0</v>
      </c>
      <c r="AW327" s="104">
        <f t="shared" si="490"/>
        <v>2</v>
      </c>
      <c r="AX327" s="104">
        <f t="shared" si="490"/>
        <v>74180.636599999983</v>
      </c>
      <c r="AY327" s="104">
        <f t="shared" si="490"/>
        <v>0</v>
      </c>
      <c r="AZ327" s="104">
        <f t="shared" si="490"/>
        <v>0</v>
      </c>
      <c r="BA327" s="104">
        <f t="shared" si="490"/>
        <v>0</v>
      </c>
      <c r="BB327" s="104">
        <f t="shared" si="490"/>
        <v>0</v>
      </c>
      <c r="BC327" s="104">
        <f t="shared" si="490"/>
        <v>0</v>
      </c>
      <c r="BD327" s="104">
        <f t="shared" si="490"/>
        <v>0</v>
      </c>
      <c r="BE327" s="104">
        <f t="shared" si="490"/>
        <v>1</v>
      </c>
      <c r="BF327" s="104">
        <f t="shared" si="490"/>
        <v>32521.929999999993</v>
      </c>
      <c r="BG327" s="104">
        <f t="shared" si="490"/>
        <v>3</v>
      </c>
      <c r="BH327" s="104">
        <f t="shared" si="490"/>
        <v>104534.31995999999</v>
      </c>
      <c r="BI327" s="104">
        <f t="shared" si="490"/>
        <v>3</v>
      </c>
      <c r="BJ327" s="104">
        <f t="shared" si="490"/>
        <v>139379.09327999997</v>
      </c>
      <c r="BK327" s="104">
        <f t="shared" si="490"/>
        <v>5</v>
      </c>
      <c r="BL327" s="104">
        <f t="shared" si="490"/>
        <v>232298.48880000002</v>
      </c>
      <c r="BM327" s="104">
        <f t="shared" si="490"/>
        <v>0</v>
      </c>
      <c r="BN327" s="104">
        <f t="shared" si="490"/>
        <v>0</v>
      </c>
      <c r="BO327" s="104">
        <f t="shared" si="490"/>
        <v>0</v>
      </c>
      <c r="BP327" s="104">
        <f t="shared" si="490"/>
        <v>0</v>
      </c>
      <c r="BQ327" s="104">
        <f t="shared" si="490"/>
        <v>0</v>
      </c>
      <c r="BR327" s="104">
        <f t="shared" si="490"/>
        <v>0</v>
      </c>
      <c r="BS327" s="104">
        <f t="shared" si="490"/>
        <v>0</v>
      </c>
      <c r="BT327" s="104">
        <f t="shared" si="490"/>
        <v>0</v>
      </c>
      <c r="BU327" s="104">
        <f t="shared" si="490"/>
        <v>0</v>
      </c>
      <c r="BV327" s="104">
        <f t="shared" si="490"/>
        <v>0</v>
      </c>
      <c r="BW327" s="104">
        <f t="shared" si="490"/>
        <v>0</v>
      </c>
      <c r="BX327" s="104">
        <f t="shared" si="490"/>
        <v>0</v>
      </c>
      <c r="BY327" s="104">
        <f t="shared" si="490"/>
        <v>0</v>
      </c>
      <c r="BZ327" s="104">
        <f t="shared" si="490"/>
        <v>0</v>
      </c>
      <c r="CA327" s="104">
        <f t="shared" si="490"/>
        <v>1</v>
      </c>
      <c r="CB327" s="104">
        <f t="shared" si="490"/>
        <v>38716.414799999991</v>
      </c>
      <c r="CC327" s="104">
        <f t="shared" si="490"/>
        <v>0</v>
      </c>
      <c r="CD327" s="104">
        <f t="shared" si="490"/>
        <v>0</v>
      </c>
      <c r="CE327" s="104">
        <f t="shared" ref="CE327:CX327" si="491">SUM(CE328)</f>
        <v>2</v>
      </c>
      <c r="CF327" s="104">
        <f t="shared" si="491"/>
        <v>65043.859999999986</v>
      </c>
      <c r="CG327" s="104">
        <f t="shared" si="491"/>
        <v>0</v>
      </c>
      <c r="CH327" s="104">
        <f t="shared" si="491"/>
        <v>0</v>
      </c>
      <c r="CI327" s="104">
        <f t="shared" si="491"/>
        <v>0</v>
      </c>
      <c r="CJ327" s="104">
        <f t="shared" si="491"/>
        <v>0</v>
      </c>
      <c r="CK327" s="104">
        <f t="shared" si="491"/>
        <v>0</v>
      </c>
      <c r="CL327" s="104">
        <f t="shared" si="491"/>
        <v>0</v>
      </c>
      <c r="CM327" s="104">
        <f t="shared" si="491"/>
        <v>0</v>
      </c>
      <c r="CN327" s="104">
        <f t="shared" si="491"/>
        <v>0</v>
      </c>
      <c r="CO327" s="104">
        <f t="shared" si="491"/>
        <v>2</v>
      </c>
      <c r="CP327" s="104">
        <f t="shared" si="491"/>
        <v>83743.16</v>
      </c>
      <c r="CQ327" s="104">
        <f t="shared" si="491"/>
        <v>0</v>
      </c>
      <c r="CR327" s="104">
        <f t="shared" si="491"/>
        <v>0</v>
      </c>
      <c r="CS327" s="104">
        <f t="shared" si="491"/>
        <v>3</v>
      </c>
      <c r="CT327" s="104">
        <f t="shared" si="491"/>
        <v>177680.68935</v>
      </c>
      <c r="CU327" s="104">
        <f t="shared" si="491"/>
        <v>0</v>
      </c>
      <c r="CV327" s="104">
        <f t="shared" si="491"/>
        <v>0</v>
      </c>
      <c r="CW327" s="104">
        <f t="shared" si="491"/>
        <v>69</v>
      </c>
      <c r="CX327" s="104">
        <f t="shared" si="491"/>
        <v>2623912.7882066672</v>
      </c>
    </row>
    <row r="328" spans="1:102" ht="42.75" customHeight="1" x14ac:dyDescent="0.25">
      <c r="A328" s="91"/>
      <c r="B328" s="116">
        <v>260</v>
      </c>
      <c r="C328" s="117" t="s">
        <v>774</v>
      </c>
      <c r="D328" s="227" t="s">
        <v>775</v>
      </c>
      <c r="E328" s="95">
        <v>28004</v>
      </c>
      <c r="F328" s="96">
        <v>29405</v>
      </c>
      <c r="G328" s="119">
        <v>0.79</v>
      </c>
      <c r="H328" s="107">
        <v>1</v>
      </c>
      <c r="I328" s="108"/>
      <c r="J328" s="108"/>
      <c r="K328" s="108"/>
      <c r="L328" s="63"/>
      <c r="M328" s="120">
        <v>1.4</v>
      </c>
      <c r="N328" s="120">
        <v>1.68</v>
      </c>
      <c r="O328" s="120">
        <v>2.23</v>
      </c>
      <c r="P328" s="121">
        <v>2.57</v>
      </c>
      <c r="Q328" s="122">
        <v>46</v>
      </c>
      <c r="R328" s="123">
        <f>(Q328/12*2*$E328*$G328*$H328*$M328*$R$11)+(Q328/12*10*$F328*$G328*$H328*$M328*$R$11)</f>
        <v>1632542.1574000001</v>
      </c>
      <c r="S328" s="124"/>
      <c r="T328" s="125">
        <f>(S328/12*2*$E328*$G328*$H328*$M328*$R$11)+(S328/12*10*$F328*$G328*$H328*$M328*$R$11)</f>
        <v>0</v>
      </c>
      <c r="U328" s="123">
        <v>1</v>
      </c>
      <c r="V328" s="123">
        <f>(U328/12*2*$E328*$G328*$H328*$M328*$V$11)+(U328/12*10*$F328*$G328*$H328*$M328*$V$12)</f>
        <v>43272.038016666658</v>
      </c>
      <c r="W328" s="123"/>
      <c r="X328" s="126">
        <f>(W328/12*2*$E328*$G328*$H328*$M328*$X$11)+(W328/12*10*$F328*$G328*$H328*$M328*$X$12)</f>
        <v>0</v>
      </c>
      <c r="Y328" s="123"/>
      <c r="Z328" s="123">
        <f>(Y328/12*2*$E328*$G328*$H328*$M328*$Z$11)+(Y328/12*10*$F328*$G328*$H328*$M328*$Z$12)</f>
        <v>0</v>
      </c>
      <c r="AA328" s="123"/>
      <c r="AB328" s="123">
        <f>(AA328/12*2*$E328*$G328*$H328*$M328*$AB$11)+(AA328/12*10*$F328*$G328*$H328*$M328*$AB$11)</f>
        <v>0</v>
      </c>
      <c r="AC328" s="123"/>
      <c r="AD328" s="123"/>
      <c r="AE328" s="123"/>
      <c r="AF328" s="123">
        <f>(AE328/12*2*$E328*$G328*$H328*$M328*$AF$11)+(AE328/12*10*$F328*$G328*$H328*$M328*$AF$11)</f>
        <v>0</v>
      </c>
      <c r="AG328" s="123"/>
      <c r="AH328" s="126">
        <f>(AG328/12*2*$E328*$G328*$H328*$M328*$AH$11)+(AG328/12*10*$F328*$G328*$H328*$M328*$AH$11)</f>
        <v>0</v>
      </c>
      <c r="AI328" s="123"/>
      <c r="AJ328" s="123">
        <f>(AI328/12*2*$E328*$G328*$H328*$M328*$AJ$11)+(AI328/12*5*$F328*$G328*$H328*$M328*$AJ$12)+(AI328/12*5*$F328*$G328*$H328*$M328*$AJ$13)</f>
        <v>0</v>
      </c>
      <c r="AK328" s="123"/>
      <c r="AL328" s="123">
        <f>(AK328/12*2*$E328*$G328*$H328*$N328*$AL$11)+(AK328/12*5*$F328*$G328*$H328*$N328*$AL$12)++(AK328/12*5*$F328*$G328*$H328*$N328*$AL$13)</f>
        <v>0</v>
      </c>
      <c r="AM328" s="132"/>
      <c r="AN328" s="123">
        <f>(AM328/12*2*$E328*$G328*$H328*$N328*$AN$11)+(AM328/12*10*$F328*$G328*$H328*$N328*$AN$12)</f>
        <v>0</v>
      </c>
      <c r="AO328" s="130"/>
      <c r="AP328" s="127">
        <f>(AO328/12*2*$E328*$G328*$H328*$N328*$AP$11)+(AO328/12*10*$F328*$G328*$H328*$N328*$AP$11)</f>
        <v>0</v>
      </c>
      <c r="AQ328" s="127">
        <v>0</v>
      </c>
      <c r="AR328" s="127">
        <v>0</v>
      </c>
      <c r="AS328" s="123"/>
      <c r="AT328" s="123">
        <f>(AS328/12*2*$E328*$G328*$H328*$M328*$AT$11)+(AS328/12*10*$F328*$G328*$H328*$M328*$AT$11)</f>
        <v>0</v>
      </c>
      <c r="AU328" s="123"/>
      <c r="AV328" s="126">
        <f>(AU328/12*2*$E328*$G328*$H328*$M328*$AV$11)+(AU328/12*10*$F328*$G328*$H328*$M328*$AV$12)</f>
        <v>0</v>
      </c>
      <c r="AW328" s="123">
        <v>2</v>
      </c>
      <c r="AX328" s="123">
        <f>(AW328/12*2*$E328*$G328*$H328*$M328*$AX$11)+(AW328/12*10*$F328*$G328*$H328*$M328*$AX$12)</f>
        <v>74180.636599999983</v>
      </c>
      <c r="AY328" s="131"/>
      <c r="AZ328" s="123">
        <f>(AY328/12*2*$E328*$G328*$H328*$N328*$AZ$11)+(AY328/12*10*$F328*$G328*$H328*$N328*$AZ$11)</f>
        <v>0</v>
      </c>
      <c r="BA328" s="123"/>
      <c r="BB328" s="123">
        <f>(BA328/12*2*$E328*$G328*$H328*$N328*$BB$11)+(BA328/12*10*$F328*$G328*$H328*$N328*$BB$12)</f>
        <v>0</v>
      </c>
      <c r="BC328" s="123"/>
      <c r="BD328" s="126">
        <f>(BC328/12*2*$E328*$G328*$H328*$N328*$BD$11)+(BC328/12*10*$F328*$G328*$H328*$N328*$BD$12)</f>
        <v>0</v>
      </c>
      <c r="BE328" s="123">
        <v>1</v>
      </c>
      <c r="BF328" s="123">
        <f>(BE328/12*10*$F328*$G328*$H328*$N328*$BF$12)</f>
        <v>32521.929999999993</v>
      </c>
      <c r="BG328" s="123">
        <v>3</v>
      </c>
      <c r="BH328" s="123">
        <f>(BG328/12*2*$E328*$G328*$H328*$N328*$BH$11)+(BG328/12*10*$F328*$G328*$H328*$N328*$BH$11)</f>
        <v>104534.31995999999</v>
      </c>
      <c r="BI328" s="123">
        <v>3</v>
      </c>
      <c r="BJ328" s="126">
        <f>(BI328/12*2*$E328*$G328*$H328*$N328*$BJ$11)+(BI328/12*10*$F328*$G328*$H328*$N328*$BJ$11)</f>
        <v>139379.09327999997</v>
      </c>
      <c r="BK328" s="123">
        <v>5</v>
      </c>
      <c r="BL328" s="127">
        <f>(BK328/12*2*$E328*$G328*$H328*$N328*$BL$11)+(BK328/12*10*$F328*$G328*$H328*$N328*$BL$11)</f>
        <v>232298.48880000002</v>
      </c>
      <c r="BM328" s="123"/>
      <c r="BN328" s="123">
        <f>(BM328/12*2*$E328*$G328*$H328*$M328*$BN$11)+(BM328/12*10*$F328*$G328*$H328*$M328*$BN$11)</f>
        <v>0</v>
      </c>
      <c r="BO328" s="123"/>
      <c r="BP328" s="123">
        <f>(BO328/12*2*$E328*$G328*$H328*$M328*$BP$11)+(BO328/12*10*$F328*$G328*$H328*$M328*$BP$12)</f>
        <v>0</v>
      </c>
      <c r="BQ328" s="123"/>
      <c r="BR328" s="123">
        <f>(BQ328/12*2*$E328*$G328*$H328*$M328*$BR$11)+(BQ328/12*10*$F328*$G328*$H328*$M328*$BR$11)</f>
        <v>0</v>
      </c>
      <c r="BS328" s="123"/>
      <c r="BT328" s="123">
        <f>(BS328/12*2*$E328*$G328*$H328*$N328*$BT$11)+(BS328/12*10*$F328*$G328*$H328*$N328*$BT$11)</f>
        <v>0</v>
      </c>
      <c r="BU328" s="123"/>
      <c r="BV328" s="126">
        <f>(BU328/12*2*$E328*$G328*$H328*$M328*$BV$11)+(BU328/12*10*$F328*$G328*$H328*$M328*$BV$11)</f>
        <v>0</v>
      </c>
      <c r="BW328" s="123"/>
      <c r="BX328" s="123">
        <f>(BW328/12*2*$E328*$G328*$H328*$M328*$BX$11)+(BW328/12*10*$F328*$G328*$H328*$M328*$BX$11)</f>
        <v>0</v>
      </c>
      <c r="BY328" s="123"/>
      <c r="BZ328" s="123">
        <f>(BY328/12*2*$E328*$G328*$H328*$M328*$BZ$11)+(BY328/12*10*$F328*$G328*$H328*$M328*$BZ$11)</f>
        <v>0</v>
      </c>
      <c r="CA328" s="123">
        <v>1</v>
      </c>
      <c r="CB328" s="123">
        <f>(CA328/12*2*$E328*$G328*$H328*$M328*$CB$11)+(CA328/12*10*$F328*$G328*$H328*$M328*$CB$11)</f>
        <v>38716.414799999991</v>
      </c>
      <c r="CC328" s="123"/>
      <c r="CD328" s="123">
        <f>(CC328/12*2*$E328*$G328*$H328*$M328*$CD$11)+(CC328/12*10*$F328*$G328*$H328*$M328*$CD$11)</f>
        <v>0</v>
      </c>
      <c r="CE328" s="123">
        <v>2</v>
      </c>
      <c r="CF328" s="123">
        <f>(CE328/12*10*$F328*$G328*$H328*$N328*$CF$11)</f>
        <v>65043.859999999986</v>
      </c>
      <c r="CG328" s="132"/>
      <c r="CH328" s="123">
        <f>(CG328/12*2*$E328*$G328*$H328*$N328*$CH$11)+(CG328/12*10*$F328*$G328*$H328*$N328*$CH$11)</f>
        <v>0</v>
      </c>
      <c r="CI328" s="123"/>
      <c r="CJ328" s="127">
        <f>(CI328*$E328*$G328*$H328*$N328*CJ$11)</f>
        <v>0</v>
      </c>
      <c r="CK328" s="123"/>
      <c r="CL328" s="123">
        <f>(CK328/12*2*$E328*$G328*$H328*$N328*$CL$11)+(CK328/12*10*$F328*$G328*$H328*$N328*$CL$12)</f>
        <v>0</v>
      </c>
      <c r="CM328" s="130"/>
      <c r="CN328" s="123">
        <f>(CM328/12*2*$E328*$G328*$H328*$N328*$CN$11)+(CM328/12*10*$F328*$G328*$H328*$N328*$CN$11)</f>
        <v>0</v>
      </c>
      <c r="CO328" s="123">
        <v>2</v>
      </c>
      <c r="CP328" s="123">
        <v>83743.16</v>
      </c>
      <c r="CQ328" s="123"/>
      <c r="CR328" s="123">
        <f>(CQ328/12*2*$E328*$G328*$H328*$O328*$CR$11)+(CQ328/12*10*$F328*$G328*$H328*$O328*$CR$11)</f>
        <v>0</v>
      </c>
      <c r="CS328" s="123">
        <v>3</v>
      </c>
      <c r="CT328" s="133">
        <f>(CS328/12*2*$E328*$G328*$H328*$P328*$CT$11)+(CS328/12*10*$F328*$G328*$H328*$P328*$CT$11)</f>
        <v>177680.68935</v>
      </c>
      <c r="CU328" s="127"/>
      <c r="CV328" s="123">
        <f>(CU328*$E328*$G328*$H328*$M328*CV$11)/12*6+(CU328*$E328*$G328*$H328*1*CV$11)/12*6</f>
        <v>0</v>
      </c>
      <c r="CW328" s="126">
        <f>SUM(Q328,S328,U328,W328,Y328,AA328,AC328,AE328,AG328,AM328,BQ328,AI328,AU328,CC328,AW328,AY328,AK328,BC328,AO328,AQ328,BE328,CE328,BG328,BI328,BK328,BS328,BM328,BO328,BU328,BW328,BY328,CA328,CG328,BA328,AS328,CI328,CK328,CM328,CO328,CQ328,CS328,CU328)</f>
        <v>69</v>
      </c>
      <c r="CX328" s="126">
        <f>SUM(R328,T328,V328,X328,Z328,AB328,AD328,AF328,AH328,AN328,BR328,AJ328,AV328,CD328,AX328,AZ328,AL328,BD328,AP328,AR328,BF328,CF328,BH328,BJ328,BL328,BT328,BN328,BP328,BV328,BX328,BZ328,CB328,CH328,BB328,AT328,CJ328,CL328,CN328,CP328,CR328,CT328,CV328)</f>
        <v>2623912.7882066672</v>
      </c>
    </row>
    <row r="329" spans="1:102" ht="15.75" customHeight="1" x14ac:dyDescent="0.25">
      <c r="A329" s="109">
        <v>27</v>
      </c>
      <c r="B329" s="92"/>
      <c r="C329" s="93" t="s">
        <v>776</v>
      </c>
      <c r="D329" s="164" t="s">
        <v>777</v>
      </c>
      <c r="E329" s="95">
        <v>28004</v>
      </c>
      <c r="F329" s="96">
        <v>29405</v>
      </c>
      <c r="G329" s="226">
        <v>0.73</v>
      </c>
      <c r="H329" s="166"/>
      <c r="I329" s="108"/>
      <c r="J329" s="108"/>
      <c r="K329" s="108"/>
      <c r="L329" s="111"/>
      <c r="M329" s="112">
        <v>1.4</v>
      </c>
      <c r="N329" s="112">
        <v>1.68</v>
      </c>
      <c r="O329" s="112">
        <v>2.23</v>
      </c>
      <c r="P329" s="113">
        <v>2.57</v>
      </c>
      <c r="Q329" s="103">
        <f>SUM(Q330:Q343)</f>
        <v>1480</v>
      </c>
      <c r="R329" s="104">
        <f>SUM(R330:R343)</f>
        <v>62239898.284899995</v>
      </c>
      <c r="S329" s="114">
        <f t="shared" ref="S329:CD329" si="492">SUM(S330:S343)</f>
        <v>1542</v>
      </c>
      <c r="T329" s="115">
        <f t="shared" si="492"/>
        <v>51466912.557853341</v>
      </c>
      <c r="U329" s="104">
        <f t="shared" si="492"/>
        <v>612</v>
      </c>
      <c r="V329" s="104">
        <f t="shared" si="492"/>
        <v>17523735.069878332</v>
      </c>
      <c r="W329" s="104">
        <f t="shared" si="492"/>
        <v>0</v>
      </c>
      <c r="X329" s="104">
        <f t="shared" si="492"/>
        <v>0</v>
      </c>
      <c r="Y329" s="104">
        <f t="shared" si="492"/>
        <v>69</v>
      </c>
      <c r="Z329" s="104">
        <f t="shared" si="492"/>
        <v>3195010.0981166661</v>
      </c>
      <c r="AA329" s="104">
        <f t="shared" si="492"/>
        <v>0</v>
      </c>
      <c r="AB329" s="104">
        <f t="shared" si="492"/>
        <v>0</v>
      </c>
      <c r="AC329" s="104">
        <f t="shared" si="492"/>
        <v>0</v>
      </c>
      <c r="AD329" s="104">
        <f t="shared" si="492"/>
        <v>0</v>
      </c>
      <c r="AE329" s="104">
        <f t="shared" si="492"/>
        <v>645</v>
      </c>
      <c r="AF329" s="105">
        <f t="shared" si="492"/>
        <v>19232938.4639</v>
      </c>
      <c r="AG329" s="104">
        <f t="shared" si="492"/>
        <v>1267</v>
      </c>
      <c r="AH329" s="104">
        <f t="shared" si="492"/>
        <v>35251936.131136663</v>
      </c>
      <c r="AI329" s="106">
        <f t="shared" si="492"/>
        <v>1788</v>
      </c>
      <c r="AJ329" s="104">
        <f t="shared" si="492"/>
        <v>52511667.258960001</v>
      </c>
      <c r="AK329" s="104">
        <f t="shared" si="492"/>
        <v>1100</v>
      </c>
      <c r="AL329" s="104">
        <f t="shared" si="492"/>
        <v>40002615.174759999</v>
      </c>
      <c r="AM329" s="104">
        <f t="shared" si="492"/>
        <v>2</v>
      </c>
      <c r="AN329" s="104">
        <f t="shared" si="492"/>
        <v>77561.020039999989</v>
      </c>
      <c r="AO329" s="106">
        <f t="shared" si="492"/>
        <v>79</v>
      </c>
      <c r="AP329" s="104">
        <f t="shared" si="492"/>
        <v>2648342.082624</v>
      </c>
      <c r="AQ329" s="104">
        <v>314</v>
      </c>
      <c r="AR329" s="104">
        <v>10100247.80000001</v>
      </c>
      <c r="AS329" s="104">
        <f t="shared" si="492"/>
        <v>0</v>
      </c>
      <c r="AT329" s="104">
        <f t="shared" si="492"/>
        <v>0</v>
      </c>
      <c r="AU329" s="104">
        <f t="shared" si="492"/>
        <v>0</v>
      </c>
      <c r="AV329" s="104">
        <f t="shared" si="492"/>
        <v>0</v>
      </c>
      <c r="AW329" s="104">
        <f t="shared" si="492"/>
        <v>459</v>
      </c>
      <c r="AX329" s="104">
        <f t="shared" si="492"/>
        <v>12935889.566880001</v>
      </c>
      <c r="AY329" s="104">
        <f t="shared" si="492"/>
        <v>2020</v>
      </c>
      <c r="AZ329" s="104">
        <f t="shared" si="492"/>
        <v>70299077.612008005</v>
      </c>
      <c r="BA329" s="104">
        <f t="shared" si="492"/>
        <v>763</v>
      </c>
      <c r="BB329" s="104">
        <f t="shared" si="492"/>
        <v>25572123.78224</v>
      </c>
      <c r="BC329" s="104">
        <f t="shared" si="492"/>
        <v>0</v>
      </c>
      <c r="BD329" s="104">
        <f t="shared" si="492"/>
        <v>0</v>
      </c>
      <c r="BE329" s="104">
        <f t="shared" si="492"/>
        <v>481</v>
      </c>
      <c r="BF329" s="104">
        <f t="shared" si="492"/>
        <v>13189783.298999999</v>
      </c>
      <c r="BG329" s="104">
        <f t="shared" si="492"/>
        <v>639</v>
      </c>
      <c r="BH329" s="104">
        <f t="shared" si="492"/>
        <v>21035694.078671999</v>
      </c>
      <c r="BI329" s="104">
        <f t="shared" si="492"/>
        <v>584</v>
      </c>
      <c r="BJ329" s="104">
        <f t="shared" si="492"/>
        <v>19552991.054239996</v>
      </c>
      <c r="BK329" s="104">
        <f t="shared" si="492"/>
        <v>835</v>
      </c>
      <c r="BL329" s="104">
        <f t="shared" si="492"/>
        <v>28063112.181047998</v>
      </c>
      <c r="BM329" s="104">
        <f t="shared" si="492"/>
        <v>430</v>
      </c>
      <c r="BN329" s="104">
        <f t="shared" si="492"/>
        <v>11876301.08</v>
      </c>
      <c r="BO329" s="104">
        <f t="shared" si="492"/>
        <v>388</v>
      </c>
      <c r="BP329" s="104">
        <f t="shared" si="492"/>
        <v>10948209.807500001</v>
      </c>
      <c r="BQ329" s="104">
        <f t="shared" si="492"/>
        <v>6</v>
      </c>
      <c r="BR329" s="104">
        <f t="shared" si="492"/>
        <v>145731.18</v>
      </c>
      <c r="BS329" s="104">
        <f t="shared" si="492"/>
        <v>753</v>
      </c>
      <c r="BT329" s="104">
        <f t="shared" si="492"/>
        <v>25029883.711279999</v>
      </c>
      <c r="BU329" s="104">
        <f t="shared" si="492"/>
        <v>328</v>
      </c>
      <c r="BV329" s="104">
        <f t="shared" si="492"/>
        <v>8797234.0922199991</v>
      </c>
      <c r="BW329" s="104">
        <f t="shared" si="492"/>
        <v>448</v>
      </c>
      <c r="BX329" s="104">
        <f t="shared" si="492"/>
        <v>11983129.854266666</v>
      </c>
      <c r="BY329" s="104">
        <f t="shared" si="492"/>
        <v>365</v>
      </c>
      <c r="BZ329" s="104">
        <f t="shared" si="492"/>
        <v>10026913.351</v>
      </c>
      <c r="CA329" s="104">
        <f t="shared" si="492"/>
        <v>1132</v>
      </c>
      <c r="CB329" s="104">
        <f t="shared" si="492"/>
        <v>31786523.204240002</v>
      </c>
      <c r="CC329" s="104">
        <f t="shared" si="492"/>
        <v>905</v>
      </c>
      <c r="CD329" s="104">
        <f t="shared" si="492"/>
        <v>24306678.6536</v>
      </c>
      <c r="CE329" s="104">
        <f t="shared" ref="CE329:CX329" si="493">SUM(CE330:CE343)</f>
        <v>440</v>
      </c>
      <c r="CF329" s="104">
        <f t="shared" si="493"/>
        <v>12008002.229999999</v>
      </c>
      <c r="CG329" s="104">
        <f t="shared" si="493"/>
        <v>1021</v>
      </c>
      <c r="CH329" s="104">
        <f t="shared" si="493"/>
        <v>32579737.841700003</v>
      </c>
      <c r="CI329" s="104">
        <f t="shared" si="493"/>
        <v>0</v>
      </c>
      <c r="CJ329" s="104">
        <f t="shared" si="493"/>
        <v>0</v>
      </c>
      <c r="CK329" s="104">
        <f t="shared" si="493"/>
        <v>0</v>
      </c>
      <c r="CL329" s="104">
        <f t="shared" si="493"/>
        <v>0</v>
      </c>
      <c r="CM329" s="104">
        <f t="shared" si="493"/>
        <v>26</v>
      </c>
      <c r="CN329" s="104">
        <f t="shared" si="493"/>
        <v>855395.47128000006</v>
      </c>
      <c r="CO329" s="104">
        <f t="shared" si="493"/>
        <v>561</v>
      </c>
      <c r="CP329" s="104">
        <f t="shared" si="493"/>
        <v>5662468.5500000007</v>
      </c>
      <c r="CQ329" s="104">
        <f t="shared" si="493"/>
        <v>155</v>
      </c>
      <c r="CR329" s="104">
        <f t="shared" si="493"/>
        <v>6500599.2148749996</v>
      </c>
      <c r="CS329" s="104">
        <f t="shared" si="493"/>
        <v>239</v>
      </c>
      <c r="CT329" s="104">
        <f t="shared" si="493"/>
        <v>13454370.666166665</v>
      </c>
      <c r="CU329" s="104">
        <f t="shared" si="493"/>
        <v>0</v>
      </c>
      <c r="CV329" s="104">
        <f t="shared" si="493"/>
        <v>0</v>
      </c>
      <c r="CW329" s="104">
        <f t="shared" si="493"/>
        <v>21876</v>
      </c>
      <c r="CX329" s="104">
        <f t="shared" si="493"/>
        <v>690860714.42438531</v>
      </c>
    </row>
    <row r="330" spans="1:102" s="6" customFormat="1" ht="45" x14ac:dyDescent="0.25">
      <c r="A330" s="277" t="s">
        <v>163</v>
      </c>
      <c r="B330" s="116">
        <v>261</v>
      </c>
      <c r="C330" s="117" t="s">
        <v>778</v>
      </c>
      <c r="D330" s="161" t="s">
        <v>779</v>
      </c>
      <c r="E330" s="95">
        <v>28004</v>
      </c>
      <c r="F330" s="96">
        <v>29405</v>
      </c>
      <c r="G330" s="120">
        <v>0.74</v>
      </c>
      <c r="H330" s="107">
        <v>1</v>
      </c>
      <c r="I330" s="108"/>
      <c r="J330" s="108"/>
      <c r="K330" s="108"/>
      <c r="L330" s="63"/>
      <c r="M330" s="120">
        <v>1.4</v>
      </c>
      <c r="N330" s="120">
        <v>1.68</v>
      </c>
      <c r="O330" s="120">
        <v>2.23</v>
      </c>
      <c r="P330" s="121">
        <v>2.57</v>
      </c>
      <c r="Q330" s="122">
        <v>25</v>
      </c>
      <c r="R330" s="123">
        <f>(Q330/12*2*$E330*$G330*$H330*$M330)+(Q330/12*10*$F330*$G330*$H330*$M330)</f>
        <v>755541.85</v>
      </c>
      <c r="S330" s="124">
        <f>38+3</f>
        <v>41</v>
      </c>
      <c r="T330" s="125">
        <f>(S330/12*2*$E330*$G330*$H330*$M330)+(S330/12*10*$F330*$G330*$H330*$M330)</f>
        <v>1239088.6339999998</v>
      </c>
      <c r="U330" s="123">
        <v>60</v>
      </c>
      <c r="V330" s="123">
        <f>(U330/12*2*$E330*$G330*$H330*$M330)+(U330/12*10*$F330*$G330*$H330*$M330)</f>
        <v>1813300.44</v>
      </c>
      <c r="W330" s="123"/>
      <c r="X330" s="123">
        <f>(W330/12*2*$E330*$G330*$H330*$M330)+(W330/12*10*$F330*$G330*$H330*$M330)</f>
        <v>0</v>
      </c>
      <c r="Y330" s="123"/>
      <c r="Z330" s="123">
        <f>(Y330/12*2*$E330*$G330*$H330*$M330)+(Y330/12*10*$F330*$G330*$H330*$M330)</f>
        <v>0</v>
      </c>
      <c r="AA330" s="123"/>
      <c r="AB330" s="123">
        <f>(AA330/12*2*$E330*$G330*$H330*$M330)+(AA330/12*10*$F330*$G330*$H330*$M330)</f>
        <v>0</v>
      </c>
      <c r="AC330" s="123"/>
      <c r="AD330" s="123"/>
      <c r="AE330" s="123">
        <v>31</v>
      </c>
      <c r="AF330" s="127">
        <f>(AE330/12*2*$E330*$G330*$H330*$M330)+(AE330/12*10*$F330*$G330*$H330*$M330)</f>
        <v>936871.89399999997</v>
      </c>
      <c r="AG330" s="123">
        <f>60-4</f>
        <v>56</v>
      </c>
      <c r="AH330" s="123">
        <f>(AG330/12*2*$E330*$G330*$H330*$M330)+(AG330/12*10*$F330*$G330*$H330*$M330)</f>
        <v>1692413.7439999999</v>
      </c>
      <c r="AI330" s="130">
        <v>131</v>
      </c>
      <c r="AJ330" s="123">
        <f>(AI330/12*2*$E330*$G330*$H330*$M330)+(AI330/12*10*$F330*$G330*$H330*$M330)</f>
        <v>3959039.2939999998</v>
      </c>
      <c r="AK330" s="123">
        <v>250</v>
      </c>
      <c r="AL330" s="126">
        <f>(AK330/12*2*$E330*$G330*$H330*$N330)+(AK330/12*10*$F330*$G330*$H330*$N330)</f>
        <v>9066502.1999999993</v>
      </c>
      <c r="AM330" s="129"/>
      <c r="AN330" s="123">
        <f>(AM330/12*2*$E330*$G330*$H330*$N330)+(AM330/12*10*$F330*$G330*$H330*$N330)</f>
        <v>0</v>
      </c>
      <c r="AO330" s="130"/>
      <c r="AP330" s="123">
        <f>(AO330/12*2*$E330*$G330*$H330*$N330)+(AO330/12*10*$F330*$G330*$H330*$N330)</f>
        <v>0</v>
      </c>
      <c r="AQ330" s="123">
        <v>13</v>
      </c>
      <c r="AR330" s="123">
        <v>468264.97999999992</v>
      </c>
      <c r="AS330" s="123"/>
      <c r="AT330" s="123"/>
      <c r="AU330" s="123"/>
      <c r="AV330" s="123"/>
      <c r="AW330" s="123">
        <v>20</v>
      </c>
      <c r="AX330" s="123">
        <f>(AW330/12*2*$E330*$G330*$H330*$M330)+(AW330/12*10*$F330*$G330*$H330*$M330)</f>
        <v>604433.48</v>
      </c>
      <c r="AY330" s="123">
        <v>58</v>
      </c>
      <c r="AZ330" s="123">
        <f>(AY330/12*2*$E330*$G330*$H330*$N330)+(AY330/12*10*$F330*$G330*$H330*$N330)</f>
        <v>2103428.5104</v>
      </c>
      <c r="BA330" s="123">
        <v>301</v>
      </c>
      <c r="BB330" s="123">
        <f>(BA330/12*2*$E330*$G330*$H330*$N330)+(BA330/12*10*$F330*$G330*$H330*$N330)</f>
        <v>10916068.648799999</v>
      </c>
      <c r="BC330" s="123"/>
      <c r="BD330" s="123">
        <f>(BC330/12*2*$E330*$G330*$H330*$N330)+(BC330/12*10*$F330*$G330*$H330*$N330)</f>
        <v>0</v>
      </c>
      <c r="BE330" s="123">
        <v>15</v>
      </c>
      <c r="BF330" s="123">
        <f>(BE330/12*10*$F330*$G330*$H330*$N330)</f>
        <v>456953.7</v>
      </c>
      <c r="BG330" s="123">
        <v>59</v>
      </c>
      <c r="BH330" s="123">
        <f>(BG330/12*2*$E330*$G330*$H330*$N330)+(BG330/12*10*$F330*$G330*$H330*$N330)</f>
        <v>2139694.5192</v>
      </c>
      <c r="BI330" s="123">
        <v>36</v>
      </c>
      <c r="BJ330" s="123">
        <f>(BI330/12*2*$E330*$G330*$H330*$N330)+(BI330/12*10*$F330*$G330*$H330*$N330)</f>
        <v>1305576.3167999999</v>
      </c>
      <c r="BK330" s="123">
        <v>78</v>
      </c>
      <c r="BL330" s="123">
        <f>(BK330/12*2*$E330*$G330*$H330*$N330)+(BK330/12*10*$F330*$G330*$H330*$N330)</f>
        <v>2828748.6863999995</v>
      </c>
      <c r="BM330" s="123">
        <v>5</v>
      </c>
      <c r="BN330" s="123">
        <f>(BM330/12*2*$E330*$G330*$H330*$M330)+(BM330/12*10*$F330*$G330*$H330*$M330)</f>
        <v>151108.37</v>
      </c>
      <c r="BO330" s="123">
        <v>95</v>
      </c>
      <c r="BP330" s="123">
        <f>(BO330/12*2*$E330*$G330*$H330*$M330)+(BO330/12*10*$F330*$G330*$H330*$M330)</f>
        <v>2871059.0300000003</v>
      </c>
      <c r="BQ330" s="123"/>
      <c r="BR330" s="123">
        <f>(BQ330/12*2*$E330*$G330*$H330*$M330)+(BQ330/12*10*$F330*$G330*$H330*$M330)</f>
        <v>0</v>
      </c>
      <c r="BS330" s="123">
        <v>90</v>
      </c>
      <c r="BT330" s="123">
        <f>(BS330/12*2*$E330*$G330*$H330*$N330)+(BS330/12*10*$F330*$G330*$H330*$N330)</f>
        <v>3263940.7919999999</v>
      </c>
      <c r="BU330" s="123">
        <v>18</v>
      </c>
      <c r="BV330" s="123">
        <f>(BU330/12*2*$E330*$G330*$H330*$M330)+(BU330/12*10*$F330*$G330*$H330*$M330)</f>
        <v>543990.13199999998</v>
      </c>
      <c r="BW330" s="123"/>
      <c r="BX330" s="123">
        <f>(BW330/12*2*$E330*$G330*$H330*$M330)+(BW330/12*10*$F330*$G330*$H330*$M330)</f>
        <v>0</v>
      </c>
      <c r="BY330" s="123">
        <v>30</v>
      </c>
      <c r="BZ330" s="123">
        <f>(BY330/12*2*$E330*$G330*$H330*$M330)+(BY330/12*10*$F330*$G330*$H330*$M330)</f>
        <v>906650.22</v>
      </c>
      <c r="CA330" s="123">
        <v>40</v>
      </c>
      <c r="CB330" s="123">
        <f>(CA330/12*2*$E330*$G330*$H330*$M330)+(CA330/12*10*$F330*$G330*$H330*$M330)</f>
        <v>1208866.96</v>
      </c>
      <c r="CC330" s="123">
        <v>40</v>
      </c>
      <c r="CD330" s="123">
        <f>(CC330/12*2*$E330*$G330*$H330*$M330)+(CC330/12*10*$F330*$G330*$H330*$M330)</f>
        <v>1208866.96</v>
      </c>
      <c r="CE330" s="123">
        <v>50</v>
      </c>
      <c r="CF330" s="123">
        <f>(CE330/12*10*$F330*$G330*$H330*$N330)</f>
        <v>1523179</v>
      </c>
      <c r="CG330" s="132">
        <v>12</v>
      </c>
      <c r="CH330" s="123">
        <f>(CG330/12*2*$E330*$G330*$H330*$N330)+(CG330/12*10*$F330*$G330*$H330*$N330)</f>
        <v>435192.10559999995</v>
      </c>
      <c r="CI330" s="123"/>
      <c r="CJ330" s="127">
        <f>(CI330*$E330*$G330*$H330*$N330)</f>
        <v>0</v>
      </c>
      <c r="CK330" s="123"/>
      <c r="CL330" s="123">
        <f>(CK330/12*2*$E330*$G330*$H330*$N330)+(CK330/12*10*$F330*$G330*$H330*$N330)</f>
        <v>0</v>
      </c>
      <c r="CM330" s="130"/>
      <c r="CN330" s="123">
        <f>(CM330/12*2*$E330*$G330*$H330*$N330)+(CM330/12*10*$F330*$G330*$H330*$N330)</f>
        <v>0</v>
      </c>
      <c r="CO330" s="123">
        <v>36</v>
      </c>
      <c r="CP330" s="123">
        <v>463039.79</v>
      </c>
      <c r="CQ330" s="123">
        <v>20</v>
      </c>
      <c r="CR330" s="123">
        <f>(CQ330/12*2*$E330*$G330*$H330*$O330)+(CQ330/12*10*$F330*$G330*$H330*$O330)</f>
        <v>962776.1860000001</v>
      </c>
      <c r="CS330" s="123">
        <v>25</v>
      </c>
      <c r="CT330" s="127">
        <f>(CS330/12*2*$E330*$G330*$H330*$P330)+(CS330/12*10*$F330*$G330*$H330*$P330)</f>
        <v>1386958.9675</v>
      </c>
      <c r="CU330" s="127"/>
      <c r="CV330" s="127"/>
      <c r="CW330" s="126">
        <f t="shared" ref="CW330:CX338" si="494">SUM(Q330,S330,U330,W330,Y330,AA330,AC330,AE330,AG330,AM330,BQ330,AI330,AU330,CC330,AW330,AY330,AK330,BC330,AO330,AQ330,BE330,CE330,BG330,BI330,BK330,BS330,BM330,BO330,BU330,BW330,BY330,CA330,CG330,BA330,AS330,CI330,CK330,CM330,CO330,CQ330,CS330,CU330)</f>
        <v>1635</v>
      </c>
      <c r="CX330" s="126">
        <f t="shared" si="494"/>
        <v>55211555.410699993</v>
      </c>
    </row>
    <row r="331" spans="1:102" s="6" customFormat="1" ht="45" customHeight="1" x14ac:dyDescent="0.25">
      <c r="A331" s="91"/>
      <c r="B331" s="116">
        <v>262</v>
      </c>
      <c r="C331" s="117" t="s">
        <v>780</v>
      </c>
      <c r="D331" s="161" t="s">
        <v>781</v>
      </c>
      <c r="E331" s="95">
        <v>28004</v>
      </c>
      <c r="F331" s="96">
        <v>29405</v>
      </c>
      <c r="G331" s="119">
        <v>0.69</v>
      </c>
      <c r="H331" s="107">
        <v>1</v>
      </c>
      <c r="I331" s="108"/>
      <c r="J331" s="108"/>
      <c r="K331" s="108"/>
      <c r="L331" s="63"/>
      <c r="M331" s="120">
        <v>1.4</v>
      </c>
      <c r="N331" s="120">
        <v>1.68</v>
      </c>
      <c r="O331" s="120">
        <v>2.23</v>
      </c>
      <c r="P331" s="121">
        <v>2.57</v>
      </c>
      <c r="Q331" s="122">
        <v>26</v>
      </c>
      <c r="R331" s="123">
        <f>(Q331/12*2*$E331*$G331*$H331*$M331*$R$11)+(Q331/12*10*$F331*$G331*$H331*$M331*$R$11)</f>
        <v>805938.53339999984</v>
      </c>
      <c r="S331" s="124">
        <v>2</v>
      </c>
      <c r="T331" s="125">
        <f>(S331/12*2*$E331*$G331*$H331*$M331*$R$11)+(S331/12*10*$F331*$G331*$H331*$M331*$R$11)</f>
        <v>61995.271799999988</v>
      </c>
      <c r="U331" s="123"/>
      <c r="V331" s="123">
        <f>(U331/12*2*$E331*$G331*$H331*$M331*$V$11)+(U331/12*10*$F331*$G331*$H331*$M331*$V$12)</f>
        <v>0</v>
      </c>
      <c r="W331" s="123"/>
      <c r="X331" s="126">
        <f>(W331/12*2*$E331*$G331*$H331*$M331*$X$11)+(W331/12*10*$F331*$G331*$H331*$M331*$X$12)</f>
        <v>0</v>
      </c>
      <c r="Y331" s="123">
        <v>2</v>
      </c>
      <c r="Z331" s="123">
        <f>(Y331/12*2*$E331*$G331*$H331*$M331*$Z$11)+(Y331/12*10*$F331*$G331*$H331*$M331*$Z$12)</f>
        <v>75589.12969999999</v>
      </c>
      <c r="AA331" s="123"/>
      <c r="AB331" s="123">
        <f>(AA331/12*2*$E331*$G331*$H331*$M331*$AB$11)+(AA331/12*10*$F331*$G331*$H331*$M331*$AB$11)</f>
        <v>0</v>
      </c>
      <c r="AC331" s="123"/>
      <c r="AD331" s="123"/>
      <c r="AE331" s="123">
        <v>5</v>
      </c>
      <c r="AF331" s="127">
        <f>(AE331/12*2*$E331*$G331*$H331*$M331*$AF$11)+(AE331/12*10*$F331*$G331*$H331*$M331*$AF$11)</f>
        <v>154988.1795</v>
      </c>
      <c r="AG331" s="123">
        <v>35</v>
      </c>
      <c r="AH331" s="126">
        <f>(AG331/12*2*$E331*$G331*$H331*$M331*$AH$11)+(AG331/12*10*$F331*$G331*$H331*$M331*$AH$11)</f>
        <v>1084917.2564999997</v>
      </c>
      <c r="AI331" s="130">
        <v>7</v>
      </c>
      <c r="AJ331" s="123">
        <f>(AI331/12*2*$E331*$G331*$H331*$M331*$AJ$11)+(AI331/12*5*$F331*$G331*$H331*$M331*$AJ$12)+(AI331/12*5*$F331*$G331*$H331*$M331*$AJ$13)</f>
        <v>254778.01614999998</v>
      </c>
      <c r="AK331" s="123"/>
      <c r="AL331" s="123">
        <f>(AK331/12*2*$E331*$G331*$H331*$N331*$AL$11)+(AK331/12*5*$F331*$G331*$H331*$N331*$AL$12)++(AK331/12*5*$F331*$G331*$H331*$N331*$AL$13)</f>
        <v>0</v>
      </c>
      <c r="AM331" s="132"/>
      <c r="AN331" s="123">
        <f>(AM331/12*2*$E331*$G331*$H331*$N331*$AN$11)+(AM331/12*10*$F331*$G331*$H331*$N331*$AN$12)</f>
        <v>0</v>
      </c>
      <c r="AO331" s="130">
        <v>1</v>
      </c>
      <c r="AP331" s="127">
        <f>(AO331/12*2*$E331*$G331*$H331*$N331*$AP$11)+(AO331/12*10*$F331*$G331*$H331*$N331*$AP$11)</f>
        <v>37197.163079999991</v>
      </c>
      <c r="AQ331" s="127">
        <v>0</v>
      </c>
      <c r="AR331" s="127">
        <v>0</v>
      </c>
      <c r="AS331" s="123"/>
      <c r="AT331" s="123">
        <f>(AS331/12*2*$E331*$G331*$H331*$M331*$AT$11)+(AS331/12*10*$F331*$G331*$H331*$M331*$AT$11)</f>
        <v>0</v>
      </c>
      <c r="AU331" s="123"/>
      <c r="AV331" s="126">
        <f>(AU331/12*2*$E331*$G331*$H331*$M331*$AV$11)+(AU331/12*10*$F331*$G331*$H331*$M331*$AV$12)</f>
        <v>0</v>
      </c>
      <c r="AW331" s="123"/>
      <c r="AX331" s="123">
        <f>(AW331/12*2*$E331*$G331*$H331*$M331*$AX$11)+(AW331/12*10*$F331*$G331*$H331*$M331*$AX$12)</f>
        <v>0</v>
      </c>
      <c r="AY331" s="123">
        <v>7</v>
      </c>
      <c r="AZ331" s="123">
        <f>(AY331/12*2*$E331*$G331*$H331*$N331*$AZ$11)+(AY331/12*10*$F331*$G331*$H331*$N331*$AZ$11)</f>
        <v>260380.14156000002</v>
      </c>
      <c r="BA331" s="123"/>
      <c r="BB331" s="123">
        <f>(BA331/12*2*$E331*$G331*$H331*$N331*$BB$11)+(BA331/12*10*$F331*$G331*$H331*$N331*$BB$12)</f>
        <v>0</v>
      </c>
      <c r="BC331" s="123"/>
      <c r="BD331" s="126">
        <f>(BC331/12*2*$E331*$G331*$H331*$N331*$BD$11)+(BC331/12*10*$F331*$G331*$H331*$N331*$BD$12)</f>
        <v>0</v>
      </c>
      <c r="BE331" s="140"/>
      <c r="BF331" s="123">
        <f>(BE331/12*10*$F331*$G331*$H331*$N331*$BF$12)</f>
        <v>0</v>
      </c>
      <c r="BG331" s="123"/>
      <c r="BH331" s="123">
        <f>(BG331/12*2*$E331*$G331*$H331*$N331*$BH$11)+(BG331/12*10*$F331*$G331*$H331*$N331*$BH$11)</f>
        <v>0</v>
      </c>
      <c r="BI331" s="123">
        <v>3</v>
      </c>
      <c r="BJ331" s="126">
        <f>(BI331/12*2*$E331*$G331*$H331*$N331*$BJ$11)+(BI331/12*10*$F331*$G331*$H331*$N331*$BJ$11)</f>
        <v>121736.17007999998</v>
      </c>
      <c r="BK331" s="123"/>
      <c r="BL331" s="127">
        <f>(BK331/12*2*$E331*$G331*$H331*$N331*$BL$11)+(BK331/12*10*$F331*$G331*$H331*$N331*$BL$11)</f>
        <v>0</v>
      </c>
      <c r="BM331" s="123"/>
      <c r="BN331" s="123">
        <f>(BM331/12*2*$E331*$G331*$H331*$M331*$BN$11)+(BM331/12*10*$F331*$G331*$H331*$M331*$BN$11)</f>
        <v>0</v>
      </c>
      <c r="BO331" s="123"/>
      <c r="BP331" s="123">
        <f>(BO331/12*2*$E331*$G331*$H331*$M331*$BP$11)+(BO331/12*10*$F331*$G331*$H331*$M331*$BP$12)</f>
        <v>0</v>
      </c>
      <c r="BQ331" s="123"/>
      <c r="BR331" s="123">
        <f>(BQ331/12*2*$E331*$G331*$H331*$M331*$BR$11)+(BQ331/12*10*$F331*$G331*$H331*$M331*$BR$11)</f>
        <v>0</v>
      </c>
      <c r="BS331" s="123"/>
      <c r="BT331" s="123">
        <f>(BS331/12*2*$E331*$G331*$H331*$N331*$BT$11)+(BS331/12*10*$F331*$G331*$H331*$N331*$BT$11)</f>
        <v>0</v>
      </c>
      <c r="BU331" s="123"/>
      <c r="BV331" s="126">
        <f>(BU331/12*2*$E331*$G331*$H331*$M331*$BV$11)+(BU331/12*10*$F331*$G331*$H331*$M331*$BV$11)</f>
        <v>0</v>
      </c>
      <c r="BW331" s="123"/>
      <c r="BX331" s="123">
        <f>(BW331/12*2*$E331*$G331*$H331*$M331*$BX$11)+(BW331/12*10*$F331*$G331*$H331*$M331*$BX$11)</f>
        <v>0</v>
      </c>
      <c r="BY331" s="123"/>
      <c r="BZ331" s="123">
        <f>(BY331/12*2*$E331*$G331*$H331*$M331*$BZ$11)+(BY331/12*10*$F331*$G331*$H331*$M331*$BZ$11)</f>
        <v>0</v>
      </c>
      <c r="CA331" s="123"/>
      <c r="CB331" s="123">
        <f>(CA331/12*2*$E331*$G331*$H331*$M331*$CB$11)+(CA331/12*10*$F331*$G331*$H331*$M331*$CB$11)</f>
        <v>0</v>
      </c>
      <c r="CC331" s="123"/>
      <c r="CD331" s="123">
        <f>(CC331/12*2*$E331*$G331*$H331*$M331*$CD$11)+(CC331/12*10*$F331*$G331*$H331*$M331*$CD$11)</f>
        <v>0</v>
      </c>
      <c r="CE331" s="123"/>
      <c r="CF331" s="123">
        <f>(CE331/12*10*$F331*$G331*$H331*$N331*$CF$11)</f>
        <v>0</v>
      </c>
      <c r="CG331" s="132"/>
      <c r="CH331" s="123">
        <f>(CG331/12*2*$E331*$G331*$H331*$N331*$CH$11)+(CG331/12*10*$F331*$G331*$H331*$N331*$CH$11)</f>
        <v>0</v>
      </c>
      <c r="CI331" s="123"/>
      <c r="CJ331" s="127">
        <f>(CI331*$E331*$G331*$H331*$N331*CJ$11)</f>
        <v>0</v>
      </c>
      <c r="CK331" s="123"/>
      <c r="CL331" s="123">
        <f>(CK331/12*2*$E331*$G331*$H331*$N331*$CL$11)+(CK331/12*10*$F331*$G331*$H331*$N331*$CL$12)</f>
        <v>0</v>
      </c>
      <c r="CM331" s="130"/>
      <c r="CN331" s="123">
        <f>(CM331/12*2*$E331*$G331*$H331*$N331*$CN$11)+(CM331/12*10*$F331*$G331*$H331*$N331*$CN$11)</f>
        <v>0</v>
      </c>
      <c r="CO331" s="123">
        <v>0</v>
      </c>
      <c r="CP331" s="123">
        <v>0</v>
      </c>
      <c r="CQ331" s="123"/>
      <c r="CR331" s="123">
        <f>(CQ331/12*2*$E331*$G331*$H331*$O331*$CR$11)+(CQ331/12*10*$F331*$G331*$H331*$O331*$CR$11)</f>
        <v>0</v>
      </c>
      <c r="CS331" s="123">
        <v>2</v>
      </c>
      <c r="CT331" s="133">
        <f>(CS331/12*2*$E331*$G331*$H331*$P331*$CT$11)+(CS331/12*10*$F331*$G331*$H331*$P331*$CT$11)</f>
        <v>103459.64189999997</v>
      </c>
      <c r="CU331" s="127"/>
      <c r="CV331" s="123">
        <f>(CU331*$E331*$G331*$H331*$M331*CV$11)/12*6+(CU331*$E331*$G331*$H331*1*CV$11)/12*6</f>
        <v>0</v>
      </c>
      <c r="CW331" s="126">
        <f t="shared" si="494"/>
        <v>90</v>
      </c>
      <c r="CX331" s="126">
        <f t="shared" si="494"/>
        <v>2960979.5036699995</v>
      </c>
    </row>
    <row r="332" spans="1:102" s="6" customFormat="1" ht="15.75" customHeight="1" x14ac:dyDescent="0.25">
      <c r="A332" s="277" t="s">
        <v>163</v>
      </c>
      <c r="B332" s="116">
        <v>263</v>
      </c>
      <c r="C332" s="117" t="s">
        <v>782</v>
      </c>
      <c r="D332" s="161" t="s">
        <v>783</v>
      </c>
      <c r="E332" s="95">
        <v>28004</v>
      </c>
      <c r="F332" s="96">
        <v>29405</v>
      </c>
      <c r="G332" s="119">
        <v>0.72</v>
      </c>
      <c r="H332" s="107">
        <v>1</v>
      </c>
      <c r="I332" s="108"/>
      <c r="J332" s="108"/>
      <c r="K332" s="108"/>
      <c r="L332" s="63"/>
      <c r="M332" s="120">
        <v>1.4</v>
      </c>
      <c r="N332" s="120">
        <v>1.68</v>
      </c>
      <c r="O332" s="120">
        <v>2.23</v>
      </c>
      <c r="P332" s="121">
        <v>2.57</v>
      </c>
      <c r="Q332" s="122">
        <v>51</v>
      </c>
      <c r="R332" s="123">
        <f>(Q332/12*2*$E332*$G332*$H332*$M332)+(Q332/12*10*$F332*$G332*$H332*$M332)</f>
        <v>1499648.4719999998</v>
      </c>
      <c r="S332" s="124">
        <v>65</v>
      </c>
      <c r="T332" s="125">
        <f>(S332/12*2*$E332*$G332*$H332*$M332)+(S332/12*10*$F332*$G332*$H332*$M332)</f>
        <v>1911316.68</v>
      </c>
      <c r="U332" s="123">
        <v>7</v>
      </c>
      <c r="V332" s="123">
        <f>(U332/12*2*$E332*$G332*$H332*$M332)+(U332/12*10*$F332*$G332*$H332*$M332)</f>
        <v>205834.10400000002</v>
      </c>
      <c r="W332" s="123"/>
      <c r="X332" s="123">
        <f>(W332/12*2*$E332*$G332*$H332*$M332)+(W332/12*10*$F332*$G332*$H332*$M332)</f>
        <v>0</v>
      </c>
      <c r="Y332" s="123"/>
      <c r="Z332" s="123">
        <f>(Y332/12*2*$E332*$G332*$H332*$M332)+(Y332/12*10*$F332*$G332*$H332*$M332)</f>
        <v>0</v>
      </c>
      <c r="AA332" s="123"/>
      <c r="AB332" s="123">
        <f>(AA332/12*2*$E332*$G332*$H332*$M332)+(AA332/12*10*$F332*$G332*$H332*$M332)</f>
        <v>0</v>
      </c>
      <c r="AC332" s="123"/>
      <c r="AD332" s="123"/>
      <c r="AE332" s="123">
        <v>60</v>
      </c>
      <c r="AF332" s="127">
        <f>(AE332/12*2*$E332*$G332*$H332*$M332)+(AE332/12*10*$F332*$G332*$H332*$M332)</f>
        <v>1764292.3199999998</v>
      </c>
      <c r="AG332" s="123">
        <v>80</v>
      </c>
      <c r="AH332" s="123">
        <f>(AG332/12*2*$E332*$G332*$H332*$M332)+(AG332/12*10*$F332*$G332*$H332*$M332)</f>
        <v>2352389.7599999998</v>
      </c>
      <c r="AI332" s="130">
        <v>150</v>
      </c>
      <c r="AJ332" s="123">
        <f>(AI332/12*2*$E332*$G332*$H332*$M332)+(AI332/12*10*$F332*$G332*$H332*$M332)</f>
        <v>4410730.8</v>
      </c>
      <c r="AK332" s="123">
        <v>99</v>
      </c>
      <c r="AL332" s="126">
        <f>(AK332/12*2*$E332*$G332*$H332*$N332)+(AK332/12*10*$F332*$G332*$H332*$N332)</f>
        <v>3493298.7935999995</v>
      </c>
      <c r="AM332" s="129"/>
      <c r="AN332" s="123">
        <f>(AM332/12*2*$E332*$G332*$H332*$N332)+(AM332/12*10*$F332*$G332*$H332*$N332)</f>
        <v>0</v>
      </c>
      <c r="AO332" s="130"/>
      <c r="AP332" s="123">
        <f>(AO332/12*2*$E332*$G332*$H332*$N332)+(AO332/12*10*$F332*$G332*$H332*$N332)</f>
        <v>0</v>
      </c>
      <c r="AQ332" s="123">
        <v>18</v>
      </c>
      <c r="AR332" s="123">
        <v>635145.27</v>
      </c>
      <c r="AS332" s="123"/>
      <c r="AT332" s="123"/>
      <c r="AU332" s="123"/>
      <c r="AV332" s="123"/>
      <c r="AW332" s="123">
        <v>60</v>
      </c>
      <c r="AX332" s="123">
        <f>(AW332/12*2*$E332*$G332*$H332*$M332)+(AW332/12*10*$F332*$G332*$H332*$M332)</f>
        <v>1764292.3199999998</v>
      </c>
      <c r="AY332" s="123">
        <v>192</v>
      </c>
      <c r="AZ332" s="123">
        <f>(AY332/12*2*$E332*$G332*$H332*$N332)+(AY332/12*10*$F332*$G332*$H332*$N332)</f>
        <v>6774882.5088</v>
      </c>
      <c r="BA332" s="123">
        <v>14</v>
      </c>
      <c r="BB332" s="123">
        <f>(BA332/12*2*$E332*$G332*$H332*$N332)+(BA332/12*10*$F332*$G332*$H332*$N332)</f>
        <v>494001.84960000007</v>
      </c>
      <c r="BC332" s="123"/>
      <c r="BD332" s="123">
        <f>(BC332/12*2*$E332*$G332*$H332*$N332)+(BC332/12*10*$F332*$G332*$H332*$N332)</f>
        <v>0</v>
      </c>
      <c r="BE332" s="123">
        <v>85</v>
      </c>
      <c r="BF332" s="123">
        <f>(BE332/12*10*$F332*$G332*$H332*$N332)</f>
        <v>2519420.3999999994</v>
      </c>
      <c r="BG332" s="123">
        <v>8</v>
      </c>
      <c r="BH332" s="123">
        <f>(BG332/12*2*$E332*$G332*$H332*$N332)+(BG332/12*10*$F332*$G332*$H332*$N332)</f>
        <v>282286.77119999996</v>
      </c>
      <c r="BI332" s="123">
        <v>26</v>
      </c>
      <c r="BJ332" s="123">
        <f>(BI332/12*2*$E332*$G332*$H332*$N332)+(BI332/12*10*$F332*$G332*$H332*$N332)</f>
        <v>917432.00639999984</v>
      </c>
      <c r="BK332" s="123">
        <v>100</v>
      </c>
      <c r="BL332" s="123">
        <f>(BK332/12*2*$E332*$G332*$H332*$N332)+(BK332/12*10*$F332*$G332*$H332*$N332)</f>
        <v>3528584.6400000006</v>
      </c>
      <c r="BM332" s="123">
        <v>5</v>
      </c>
      <c r="BN332" s="123">
        <f>(BM332/12*2*$E332*$G332*$H332*$M332)+(BM332/12*10*$F332*$G332*$H332*$M332)</f>
        <v>147024.35999999999</v>
      </c>
      <c r="BO332" s="123"/>
      <c r="BP332" s="123">
        <f>(BO332/12*2*$E332*$G332*$H332*$M332)+(BO332/12*10*$F332*$G332*$H332*$M332)</f>
        <v>0</v>
      </c>
      <c r="BQ332" s="123"/>
      <c r="BR332" s="123">
        <f>(BQ332/12*2*$E332*$G332*$H332*$M332)+(BQ332/12*10*$F332*$G332*$H332*$M332)</f>
        <v>0</v>
      </c>
      <c r="BS332" s="123">
        <v>70</v>
      </c>
      <c r="BT332" s="123">
        <f>(BS332/12*2*$E332*$G332*$H332*$N332)+(BS332/12*10*$F332*$G332*$H332*$N332)</f>
        <v>2470009.2479999997</v>
      </c>
      <c r="BU332" s="123">
        <v>30</v>
      </c>
      <c r="BV332" s="123">
        <f>(BU332/12*2*$E332*$G332*$H332*$M332)+(BU332/12*10*$F332*$G332*$H332*$M332)</f>
        <v>882146.15999999992</v>
      </c>
      <c r="BW332" s="123">
        <v>3</v>
      </c>
      <c r="BX332" s="123">
        <f>(BW332/12*2*$E332*$G332*$H332*$M332)+(BW332/12*10*$F332*$G332*$H332*$M332)</f>
        <v>88214.615999999995</v>
      </c>
      <c r="BY332" s="123">
        <v>40</v>
      </c>
      <c r="BZ332" s="123">
        <f>(BY332/12*2*$E332*$G332*$H332*$M332)+(BY332/12*10*$F332*$G332*$H332*$M332)</f>
        <v>1176194.8799999999</v>
      </c>
      <c r="CA332" s="123">
        <v>50</v>
      </c>
      <c r="CB332" s="123">
        <f>(CA332/12*2*$E332*$G332*$H332*$M332)+(CA332/12*10*$F332*$G332*$H332*$M332)</f>
        <v>1470243.6</v>
      </c>
      <c r="CC332" s="123">
        <v>45</v>
      </c>
      <c r="CD332" s="123">
        <f>(CC332/12*2*$E332*$G332*$H332*$M332)+(CC332/12*10*$F332*$G332*$H332*$M332)</f>
        <v>1323219.24</v>
      </c>
      <c r="CE332" s="123">
        <v>47</v>
      </c>
      <c r="CF332" s="123">
        <f>(CE332/12*10*$F332*$G332*$H332*$N332)</f>
        <v>1393091.2799999998</v>
      </c>
      <c r="CG332" s="132">
        <v>2</v>
      </c>
      <c r="CH332" s="123">
        <f>(CG332/12*2*$E332*$G332*$H332*$N332)+(CG332/12*10*$F332*$G332*$H332*$N332)</f>
        <v>70571.69279999999</v>
      </c>
      <c r="CI332" s="123"/>
      <c r="CJ332" s="127">
        <f>(CI332*$E332*$G332*$H332*$N332)</f>
        <v>0</v>
      </c>
      <c r="CK332" s="123"/>
      <c r="CL332" s="123">
        <f>(CK332/12*2*$E332*$G332*$H332*$N332)+(CK332/12*10*$F332*$G332*$H332*$N332)</f>
        <v>0</v>
      </c>
      <c r="CM332" s="123">
        <v>2</v>
      </c>
      <c r="CN332" s="123">
        <f>(CM332/12*2*$E332*$G332*$H332*$N332)+(CM332/12*10*$F332*$G332*$H332*$N332)</f>
        <v>70571.69279999999</v>
      </c>
      <c r="CO332" s="123">
        <v>26</v>
      </c>
      <c r="CP332" s="123">
        <v>211715.09000000003</v>
      </c>
      <c r="CQ332" s="123">
        <v>10</v>
      </c>
      <c r="CR332" s="123">
        <f>(CQ332/12*2*$E332*$G332*$H332*$O332)+(CQ332/12*10*$F332*$G332*$H332*$O332)</f>
        <v>468377.60400000005</v>
      </c>
      <c r="CS332" s="123">
        <v>20</v>
      </c>
      <c r="CT332" s="127">
        <f>(CS332/12*2*$E332*$G332*$H332*$P332)+(CS332/12*10*$F332*$G332*$H332*$P332)</f>
        <v>1079578.872</v>
      </c>
      <c r="CU332" s="127"/>
      <c r="CV332" s="127"/>
      <c r="CW332" s="126">
        <f t="shared" si="494"/>
        <v>1365</v>
      </c>
      <c r="CX332" s="126">
        <f t="shared" si="494"/>
        <v>43404515.031200014</v>
      </c>
    </row>
    <row r="333" spans="1:102" s="6" customFormat="1" ht="27" customHeight="1" x14ac:dyDescent="0.25">
      <c r="A333" s="91"/>
      <c r="B333" s="116">
        <v>264</v>
      </c>
      <c r="C333" s="117" t="s">
        <v>784</v>
      </c>
      <c r="D333" s="161" t="s">
        <v>785</v>
      </c>
      <c r="E333" s="95">
        <v>28004</v>
      </c>
      <c r="F333" s="96">
        <v>29405</v>
      </c>
      <c r="G333" s="119">
        <v>0.59</v>
      </c>
      <c r="H333" s="107">
        <v>1</v>
      </c>
      <c r="I333" s="108"/>
      <c r="J333" s="108"/>
      <c r="K333" s="108"/>
      <c r="L333" s="63"/>
      <c r="M333" s="120">
        <v>1.4</v>
      </c>
      <c r="N333" s="120">
        <v>1.68</v>
      </c>
      <c r="O333" s="120">
        <v>2.23</v>
      </c>
      <c r="P333" s="121">
        <v>2.57</v>
      </c>
      <c r="Q333" s="122">
        <v>129</v>
      </c>
      <c r="R333" s="123">
        <f>(Q333/12*2*$E333*$G333*$H333*$M333*$R$11)+(Q333/12*10*$F333*$G333*$H333*$M333*$R$11)</f>
        <v>3419174.0120999999</v>
      </c>
      <c r="S333" s="124">
        <v>121</v>
      </c>
      <c r="T333" s="125">
        <f>(S333/12*2*$E333*$G333*$H333*$M333*$R$11)+(S333/12*10*$F333*$G333*$H333*$M333*$R$11)</f>
        <v>3207132.2129000002</v>
      </c>
      <c r="U333" s="123"/>
      <c r="V333" s="123">
        <f>(U333/12*2*$E333*$G333*$H333*$M333*$V$11)+(U333/12*10*$F333*$G333*$H333*$M333*$V$12)</f>
        <v>0</v>
      </c>
      <c r="W333" s="123"/>
      <c r="X333" s="126">
        <f>(W333/12*2*$E333*$G333*$H333*$M333*$X$11)+(W333/12*10*$F333*$G333*$H333*$M333*$X$12)</f>
        <v>0</v>
      </c>
      <c r="Y333" s="123"/>
      <c r="Z333" s="123">
        <f>(Y333/12*2*$E333*$G333*$H333*$M333*$Z$11)+(Y333/12*10*$F333*$G333*$H333*$M333*$Z$12)</f>
        <v>0</v>
      </c>
      <c r="AA333" s="123"/>
      <c r="AB333" s="123">
        <f>(AA333/12*2*$E333*$G333*$H333*$M333*$AB$11)+(AA333/12*10*$F333*$G333*$H333*$M333*$AB$11)</f>
        <v>0</v>
      </c>
      <c r="AC333" s="123"/>
      <c r="AD333" s="123"/>
      <c r="AE333" s="123">
        <v>103</v>
      </c>
      <c r="AF333" s="127">
        <f>(AE333/12*2*$E333*$G333*$H333*$M333*$AF$11)+(AE333/12*10*$F333*$G333*$H333*$M333*$AF$11)</f>
        <v>2730038.1647000001</v>
      </c>
      <c r="AG333" s="123">
        <v>160</v>
      </c>
      <c r="AH333" s="126">
        <f>(AG333/12*2*$E333*$G333*$H333*$M333*$AH$11)+(AG333/12*10*$F333*$G333*$H333*$M333*$AH$11)</f>
        <v>4240835.9840000002</v>
      </c>
      <c r="AI333" s="130">
        <v>620</v>
      </c>
      <c r="AJ333" s="123">
        <f>(AI333/12*2*$E333*$G333*$H333*$M333*$AJ$11)+(AI333/12*5*$F333*$G333*$H333*$M333*$AJ$12)+(AI333/12*5*$F333*$G333*$H333*$M333*$AJ$13)</f>
        <v>19295610.415666666</v>
      </c>
      <c r="AK333" s="123">
        <v>90</v>
      </c>
      <c r="AL333" s="123">
        <f>(AK333/12*2*$E333*$G333*$H333*$N333*$AL$11)+(AK333/12*5*$F333*$G333*$H333*$N333*$AL$12)++(AK333/12*5*$F333*$G333*$H333*$N333*$AL$13)</f>
        <v>3361170.8465999998</v>
      </c>
      <c r="AM333" s="132">
        <v>2</v>
      </c>
      <c r="AN333" s="123">
        <f>(AM333/12*2*$E333*$G333*$H333*$N333*$AN$11)+(AM333/12*10*$F333*$G333*$H333*$N333*$AN$12)</f>
        <v>77561.020039999989</v>
      </c>
      <c r="AO333" s="130"/>
      <c r="AP333" s="127">
        <f>(AO333/12*2*$E333*$G333*$H333*$N333*$AP$11)+(AO333/12*10*$F333*$G333*$H333*$N333*$AP$11)</f>
        <v>0</v>
      </c>
      <c r="AQ333" s="127">
        <v>7</v>
      </c>
      <c r="AR333" s="127">
        <v>215265.14999999997</v>
      </c>
      <c r="AS333" s="123"/>
      <c r="AT333" s="123">
        <f>(AS333/12*2*$E333*$G333*$H333*$M333*$AT$11)+(AS333/12*10*$F333*$G333*$H333*$M333*$AT$11)</f>
        <v>0</v>
      </c>
      <c r="AU333" s="123"/>
      <c r="AV333" s="126">
        <f>(AU333/12*2*$E333*$G333*$H333*$M333*$AV$11)+(AU333/12*10*$F333*$G333*$H333*$M333*$AV$12)</f>
        <v>0</v>
      </c>
      <c r="AW333" s="123">
        <v>37</v>
      </c>
      <c r="AX333" s="123">
        <f>(AW333/12*2*$E333*$G333*$H333*$M333*$AX$11)+(AW333/12*10*$F333*$G333*$H333*$M333*$AX$12)</f>
        <v>1024913.4791</v>
      </c>
      <c r="AY333" s="123">
        <v>301</v>
      </c>
      <c r="AZ333" s="123">
        <f>(AY333/12*2*$E333*$G333*$H333*$N333*$AZ$11)+(AY333/12*10*$F333*$G333*$H333*$N333*$AZ$11)</f>
        <v>9573687.2338800002</v>
      </c>
      <c r="BA333" s="123"/>
      <c r="BB333" s="123">
        <f>(BA333/12*2*$E333*$G333*$H333*$N333*$BB$11)+(BA333/12*10*$F333*$G333*$H333*$N333*$BB$12)</f>
        <v>0</v>
      </c>
      <c r="BC333" s="123"/>
      <c r="BD333" s="126">
        <f>(BC333/12*2*$E333*$G333*$H333*$N333*$BD$11)+(BC333/12*10*$F333*$G333*$H333*$N333*$BD$12)</f>
        <v>0</v>
      </c>
      <c r="BE333" s="140">
        <v>60</v>
      </c>
      <c r="BF333" s="123">
        <f>(BE333/12*10*$F333*$G333*$H333*$N333*$BF$12)</f>
        <v>1457311.8</v>
      </c>
      <c r="BG333" s="123">
        <v>8</v>
      </c>
      <c r="BH333" s="123">
        <f>(BG333/12*2*$E333*$G333*$H333*$N333*$BH$11)+(BG333/12*10*$F333*$G333*$H333*$N333*$BH$11)</f>
        <v>208186.49375999995</v>
      </c>
      <c r="BI333" s="123">
        <v>33</v>
      </c>
      <c r="BJ333" s="126">
        <f>(BI333/12*2*$E333*$G333*$H333*$N333*$BJ$11)+(BI333/12*10*$F333*$G333*$H333*$N333*$BJ$11)</f>
        <v>1145025.7156799999</v>
      </c>
      <c r="BK333" s="123">
        <v>25</v>
      </c>
      <c r="BL333" s="127">
        <f>(BK333/12*2*$E333*$G333*$H333*$N333*$BL$11)+(BK333/12*10*$F333*$G333*$H333*$N333*$BL$11)</f>
        <v>867443.72400000005</v>
      </c>
      <c r="BM333" s="123"/>
      <c r="BN333" s="123">
        <f>(BM333/12*2*$E333*$G333*$H333*$M333*$BN$11)+(BM333/12*10*$F333*$G333*$H333*$M333*$BN$11)</f>
        <v>0</v>
      </c>
      <c r="BO333" s="123"/>
      <c r="BP333" s="123">
        <f>(BO333/12*2*$E333*$G333*$H333*$M333*$BP$11)+(BO333/12*10*$F333*$G333*$H333*$M333*$BP$12)</f>
        <v>0</v>
      </c>
      <c r="BQ333" s="123">
        <v>6</v>
      </c>
      <c r="BR333" s="123">
        <f>(BQ333*$F333*$G333*$H333*$M333*$BR$11)</f>
        <v>145731.18</v>
      </c>
      <c r="BS333" s="123">
        <v>20</v>
      </c>
      <c r="BT333" s="123">
        <f>(BS333/12*2*$E333*$G333*$H333*$N333*$BT$11)+(BS333/12*10*$F333*$G333*$H333*$N333*$BT$11)</f>
        <v>578295.81599999999</v>
      </c>
      <c r="BU333" s="123"/>
      <c r="BV333" s="126">
        <f>(BU333/12*2*$E333*$G333*$H333*$M333*$BV$11)+(BU333/12*10*$F333*$G333*$H333*$M333*$BV$11)</f>
        <v>0</v>
      </c>
      <c r="BW333" s="123">
        <v>5</v>
      </c>
      <c r="BX333" s="123">
        <f>(BW333/12*2*$E333*$G333*$H333*$M333*$BX$11)+(BW333/12*10*$F333*$G333*$H333*$M333*$BX$11)</f>
        <v>96382.635999999999</v>
      </c>
      <c r="BY333" s="123">
        <v>35</v>
      </c>
      <c r="BZ333" s="123">
        <f>(BY333/12*2*$E333*$G333*$H333*$M333*$BZ$11)+(BY333/12*10*$F333*$G333*$H333*$M333*$BZ$11)</f>
        <v>843348.06499999971</v>
      </c>
      <c r="CA333" s="123">
        <v>45</v>
      </c>
      <c r="CB333" s="123">
        <f>(CA333/12*2*$E333*$G333*$H333*$M333*$CB$11)+(CA333/12*10*$F333*$G333*$H333*$M333*$CB$11)</f>
        <v>1301165.5859999999</v>
      </c>
      <c r="CC333" s="123">
        <v>115</v>
      </c>
      <c r="CD333" s="123">
        <f>(CC333/12*2*$E333*$G333*$H333*$M333*$CD$11)+(CC333/12*10*$F333*$G333*$H333*$M333*$CD$11)</f>
        <v>2771000.7849999997</v>
      </c>
      <c r="CE333" s="123">
        <v>55</v>
      </c>
      <c r="CF333" s="123">
        <f>(CE333/12*10*$F333*$G333*$H333*$N333*$CF$11)</f>
        <v>1335869.1499999999</v>
      </c>
      <c r="CG333" s="132"/>
      <c r="CH333" s="123">
        <f>(CG333/12*2*$E333*$G333*$H333*$N333*$CH$11)+(CG333/12*10*$F333*$G333*$H333*$N333*$CH$11)</f>
        <v>0</v>
      </c>
      <c r="CI333" s="123"/>
      <c r="CJ333" s="127">
        <f>(CI333*$E333*$G333*$H333*$N333*CJ$11)</f>
        <v>0</v>
      </c>
      <c r="CK333" s="123"/>
      <c r="CL333" s="123">
        <f>(CK333/12*2*$E333*$G333*$H333*$N333*$CL$11)+(CK333/12*10*$F333*$G333*$H333*$N333*$CL$12)</f>
        <v>0</v>
      </c>
      <c r="CM333" s="130">
        <v>5</v>
      </c>
      <c r="CN333" s="123">
        <f>(CM333/12*2*$E333*$G333*$H333*$N333*$CN$11)+(CM333/12*10*$F333*$G333*$H333*$N333*$CN$11)</f>
        <v>144573.954</v>
      </c>
      <c r="CO333" s="123">
        <v>21</v>
      </c>
      <c r="CP333" s="123">
        <v>230392.55999999997</v>
      </c>
      <c r="CQ333" s="123">
        <v>20</v>
      </c>
      <c r="CR333" s="123">
        <f>(CQ333/12*2*$E333*$G333*$H333*$O333*$CR$11)+(CQ333/12*10*$F333*$G333*$H333*$O333*$CR$11)</f>
        <v>767618.85100000002</v>
      </c>
      <c r="CS333" s="123">
        <v>2</v>
      </c>
      <c r="CT333" s="133">
        <f>(CS333/12*2*$E333*$G333*$H333*$P333*$CT$11)+(CS333/12*10*$F333*$G333*$H333*$P333*$CT$11)</f>
        <v>88465.490899999975</v>
      </c>
      <c r="CU333" s="127"/>
      <c r="CV333" s="123">
        <f>(CU333*$E333*$G333*$H333*$M333*CV$11)/12*6+(CU333*$E333*$G333*$H333*1*CV$11)/12*6</f>
        <v>0</v>
      </c>
      <c r="CW333" s="126">
        <f t="shared" si="494"/>
        <v>2025</v>
      </c>
      <c r="CX333" s="126">
        <f t="shared" si="494"/>
        <v>59126200.326326661</v>
      </c>
    </row>
    <row r="334" spans="1:102" s="6" customFormat="1" ht="30.75" customHeight="1" x14ac:dyDescent="0.25">
      <c r="A334" s="277" t="s">
        <v>163</v>
      </c>
      <c r="B334" s="116">
        <v>265</v>
      </c>
      <c r="C334" s="117" t="s">
        <v>786</v>
      </c>
      <c r="D334" s="161" t="s">
        <v>787</v>
      </c>
      <c r="E334" s="95">
        <v>28004</v>
      </c>
      <c r="F334" s="96">
        <v>29405</v>
      </c>
      <c r="G334" s="107">
        <v>0.7</v>
      </c>
      <c r="H334" s="110">
        <v>0.9</v>
      </c>
      <c r="I334" s="110">
        <v>0.85</v>
      </c>
      <c r="J334" s="108"/>
      <c r="K334" s="108"/>
      <c r="L334" s="63"/>
      <c r="M334" s="120">
        <v>1.4</v>
      </c>
      <c r="N334" s="120">
        <v>1.68</v>
      </c>
      <c r="O334" s="120">
        <v>2.23</v>
      </c>
      <c r="P334" s="121">
        <v>2.57</v>
      </c>
      <c r="Q334" s="122">
        <v>175</v>
      </c>
      <c r="R334" s="123">
        <f>(Q334/12*2*$E334*$G334*$H334*$M334)+(Q334/12*10*$F334*$G334*$I334*$M334)</f>
        <v>4292497.7958333334</v>
      </c>
      <c r="S334" s="124">
        <v>504</v>
      </c>
      <c r="T334" s="125">
        <f>(S334/12*2*$E334*$G334*$H334*$M334)+(S334/12*10*$F334*$G334*$I334*$M334)</f>
        <v>12362393.651999999</v>
      </c>
      <c r="U334" s="123">
        <v>36</v>
      </c>
      <c r="V334" s="123">
        <f>(U334/12*2*$E334*$G334*$H334*$M334)+(U334/12*10*$F334*$G334*$I334*$M334)</f>
        <v>883028.1179999999</v>
      </c>
      <c r="W334" s="123"/>
      <c r="X334" s="123">
        <f>(W334/12*2*$E334*$G334*$H334*$M334)+(W334/12*10*$F334*$G334*$I334*$M334)</f>
        <v>0</v>
      </c>
      <c r="Y334" s="123"/>
      <c r="Z334" s="123">
        <f>(Y334/12*2*$E334*$G334*$H334*$M334)+(Y334/12*10*$F334*$G334*$I334*$M334)</f>
        <v>0</v>
      </c>
      <c r="AA334" s="123"/>
      <c r="AB334" s="123">
        <f>(AA334*$E334*$G334*$H334*$M334)/12*2+(AA334*$F334*$G334*$I334*$M334)/12*10</f>
        <v>0</v>
      </c>
      <c r="AC334" s="123"/>
      <c r="AD334" s="123"/>
      <c r="AE334" s="123">
        <v>72</v>
      </c>
      <c r="AF334" s="127">
        <f>(AE334/12*2*$E334*$G334*$H334*$M334)+(AE334/12*10*$F334*$G334*$I334*$M334)</f>
        <v>1766056.2359999998</v>
      </c>
      <c r="AG334" s="123">
        <v>200</v>
      </c>
      <c r="AH334" s="123">
        <f>(AG334/12*2*$E334*$G334*$H334*$M334)+(AG334/12*10*$F334*$G334*$I334*$M334)</f>
        <v>4905711.7666666666</v>
      </c>
      <c r="AI334" s="130">
        <v>362</v>
      </c>
      <c r="AJ334" s="123">
        <f>(AI334/12*2*$E334*$G334*$H334*$M334)+(AI334/12*10*$F334*$G334*$I334*$M334)</f>
        <v>8879338.2976666652</v>
      </c>
      <c r="AK334" s="123">
        <v>80</v>
      </c>
      <c r="AL334" s="126">
        <f>(AK334/12*2*$E334*$G334*$H334*$N334)+(AK334/12*10*$F334*$G334*$I334*$N334)</f>
        <v>2354741.6479999996</v>
      </c>
      <c r="AM334" s="132"/>
      <c r="AN334" s="123">
        <f>(AM334/12*2*$E334*$G334*$H334*$N334)+(AM334/12*10*$F334*$G334*$I334*$N334)</f>
        <v>0</v>
      </c>
      <c r="AO334" s="130">
        <v>16</v>
      </c>
      <c r="AP334" s="123">
        <f>(AO334/12*2*$E334*$G334*$H334*$N334)+(AO334/12*10*$F334*$G334*$I334*$N334)</f>
        <v>470948.32959999988</v>
      </c>
      <c r="AQ334" s="123">
        <v>94</v>
      </c>
      <c r="AR334" s="123">
        <v>2752699.3600000045</v>
      </c>
      <c r="AS334" s="123"/>
      <c r="AT334" s="123">
        <f>(AS334*$E334*$G334*$H334*$M334)/12*3+(AS334*$F334*$G334*$I334*$M334)/12*9</f>
        <v>0</v>
      </c>
      <c r="AU334" s="123"/>
      <c r="AV334" s="123"/>
      <c r="AW334" s="123">
        <v>72</v>
      </c>
      <c r="AX334" s="123">
        <f>(AW334/12*2*$E334*$G334*$H334*$M334)+(AW334/12*10*$F334*$G334*$I334*$M334)</f>
        <v>1766056.2359999998</v>
      </c>
      <c r="AY334" s="123">
        <v>364</v>
      </c>
      <c r="AZ334" s="123">
        <f>(AY334/12*2*$E334*$G334*$H334*$N334)+(AY334/12*10*$F334*$G334*$I334*$N334)</f>
        <v>10714074.498399999</v>
      </c>
      <c r="BA334" s="123"/>
      <c r="BB334" s="123">
        <f>(BA334/12*2*$E334*$G334*$H334*$N334)+(BA334/12*10*$F334*$G334*$I334*$N334)</f>
        <v>0</v>
      </c>
      <c r="BC334" s="123"/>
      <c r="BD334" s="123">
        <f>(BC334/12*2*$E334*$G334*$H334*$N334)+(BC334/12*10*$F334*$G334*$I334*$N334)</f>
        <v>0</v>
      </c>
      <c r="BE334" s="123">
        <v>60</v>
      </c>
      <c r="BF334" s="123">
        <f>(BE334/12*10*$F334*$G334*$I334*$N334)</f>
        <v>1469661.8999999997</v>
      </c>
      <c r="BG334" s="123">
        <v>117</v>
      </c>
      <c r="BH334" s="123">
        <f>(BG334/12*2*$E334*$G334*$H334*$N334)+(BG334/12*10*$F334*$G334*$I334*$N334)</f>
        <v>3443809.6601999998</v>
      </c>
      <c r="BI334" s="123">
        <v>89</v>
      </c>
      <c r="BJ334" s="123">
        <f>(BI334/12*2*$E334*$G334*$H334*$N334)+(BI334/12*10*$F334*$G334*$I334*$N334)</f>
        <v>2619650.0833999999</v>
      </c>
      <c r="BK334" s="123">
        <v>198</v>
      </c>
      <c r="BL334" s="123">
        <f>(BK334/12*2*$E334*$G334*$H334*$N334)+(BK334/12*10*$F334*$G334*$I334*$N334)</f>
        <v>5827985.5787999993</v>
      </c>
      <c r="BM334" s="123"/>
      <c r="BN334" s="123"/>
      <c r="BO334" s="123"/>
      <c r="BP334" s="123">
        <f>(BO334/12*2*$E334*$G334*$H334*$M334)+(BO334/12*10*$F334*$G334*$I334*$M334)</f>
        <v>0</v>
      </c>
      <c r="BQ334" s="123"/>
      <c r="BR334" s="123">
        <f>(BQ334/12*2*$E334*$G334*$H334*$M334)+(BQ334/12*10*$F334*$G334*$I334*$M334)</f>
        <v>0</v>
      </c>
      <c r="BS334" s="123">
        <v>100</v>
      </c>
      <c r="BT334" s="123">
        <f>(BS334/12*2*$E334*$G334*$H334*$N334)+(BS334/12*10*$F334*$G334*$I334*$N334)</f>
        <v>2943427.06</v>
      </c>
      <c r="BU334" s="123">
        <v>94</v>
      </c>
      <c r="BV334" s="123">
        <f>(BU334/12*2*$E334*$G334*$H334*$M334)+(BU334/12*10*$F334*$G334*$I334*$M334)</f>
        <v>2305684.5303333332</v>
      </c>
      <c r="BW334" s="123"/>
      <c r="BX334" s="123">
        <f>(BW334/12*2*$E334*$G334*$H334*$M334)+(BW334/12*10*$F334*$G334*$I334*$M334)</f>
        <v>0</v>
      </c>
      <c r="BY334" s="123">
        <v>50</v>
      </c>
      <c r="BZ334" s="123">
        <f>(BY334/12*2*$E334*$G334*$H334*$M334)+(BY334/12*10*$F334*$G334*$I334*$M334)</f>
        <v>1226427.9416666667</v>
      </c>
      <c r="CA334" s="123">
        <v>216</v>
      </c>
      <c r="CB334" s="123">
        <f>(CA334/12*2*$E334*$G334*$H334*$M334)+(CA334/12*10*$F334*$G334*$I334*$M334)</f>
        <v>5298168.7079999987</v>
      </c>
      <c r="CC334" s="123">
        <v>210</v>
      </c>
      <c r="CD334" s="123">
        <f>(CC334/12*2*$E334*$G334*$H334*$M334)+(CC334/12*10*$F334*$G334*$I334*$M334)</f>
        <v>5150997.3550000004</v>
      </c>
      <c r="CE334" s="123">
        <v>120</v>
      </c>
      <c r="CF334" s="123">
        <f>(CE334/12*10*$F334*$G334*$I334*$N334)</f>
        <v>2939323.7999999993</v>
      </c>
      <c r="CG334" s="132">
        <v>450</v>
      </c>
      <c r="CH334" s="123">
        <f>(CG334/12*2*$E334*$G334*$H334*$N334)+(CG334/12*10*$F334*$G334*$I334*$N334)</f>
        <v>13245421.769999998</v>
      </c>
      <c r="CI334" s="123"/>
      <c r="CJ334" s="127">
        <f>(CI334*$E334*$G334*$H334*$N334)</f>
        <v>0</v>
      </c>
      <c r="CK334" s="123"/>
      <c r="CL334" s="123">
        <f>(CK334/12*2*$E334*$G334*$H334*$N334)+(CK334/12*10*$F334*$G334*$I334*$N334)</f>
        <v>0</v>
      </c>
      <c r="CM334" s="123">
        <v>6</v>
      </c>
      <c r="CN334" s="123">
        <f>(CM334/12*2*$E334*$G334*$H334*$N334)+(CM334/12*10*$F334*$G334*$I334*$N334)</f>
        <v>176605.62359999999</v>
      </c>
      <c r="CO334" s="123">
        <v>110</v>
      </c>
      <c r="CP334" s="123">
        <v>1223881.5999999999</v>
      </c>
      <c r="CQ334" s="123">
        <v>50</v>
      </c>
      <c r="CR334" s="123">
        <f>(CQ334/12*2*$E334*$G334*$H334*$O334)+(CQ334/12*10*$F334*$G334*$I334*$O334)</f>
        <v>1953524.5070833336</v>
      </c>
      <c r="CS334" s="123">
        <v>40</v>
      </c>
      <c r="CT334" s="127">
        <f>(CS334/12*2*$E334*$G334*$H334*$P334)+(CS334/12*10*$F334*$G334*$I334*$P334)</f>
        <v>1801097.0343333331</v>
      </c>
      <c r="CU334" s="127"/>
      <c r="CV334" s="127"/>
      <c r="CW334" s="126">
        <f t="shared" si="494"/>
        <v>3885</v>
      </c>
      <c r="CX334" s="126">
        <f t="shared" si="494"/>
        <v>102773213.09058334</v>
      </c>
    </row>
    <row r="335" spans="1:102" s="6" customFormat="1" ht="45" x14ac:dyDescent="0.25">
      <c r="A335" s="277" t="s">
        <v>163</v>
      </c>
      <c r="B335" s="116">
        <v>266</v>
      </c>
      <c r="C335" s="117" t="s">
        <v>788</v>
      </c>
      <c r="D335" s="161" t="s">
        <v>789</v>
      </c>
      <c r="E335" s="95">
        <v>28004</v>
      </c>
      <c r="F335" s="96">
        <v>29405</v>
      </c>
      <c r="G335" s="119">
        <v>0.78</v>
      </c>
      <c r="H335" s="110">
        <v>0.9</v>
      </c>
      <c r="I335" s="110">
        <v>0.85</v>
      </c>
      <c r="J335" s="108"/>
      <c r="K335" s="108"/>
      <c r="L335" s="63"/>
      <c r="M335" s="120">
        <v>1.4</v>
      </c>
      <c r="N335" s="120">
        <v>1.68</v>
      </c>
      <c r="O335" s="120">
        <v>2.23</v>
      </c>
      <c r="P335" s="121">
        <v>2.57</v>
      </c>
      <c r="Q335" s="122">
        <v>246</v>
      </c>
      <c r="R335" s="123">
        <f>(Q335/12*2*$E335*$G335*$H335*$M335)+(Q335/12*10*$F335*$G335*$I335*$M335)</f>
        <v>6723628.3841999993</v>
      </c>
      <c r="S335" s="124">
        <v>97</v>
      </c>
      <c r="T335" s="125">
        <f>(S335/12*2*$E335*$G335*$H335*$M335)+(S335/12*10*$F335*$G335*$I335*$M335)</f>
        <v>2651186.8019000003</v>
      </c>
      <c r="U335" s="123"/>
      <c r="V335" s="123">
        <f>(U335/12*2*$E335*$G335*$H335*$M335)+(U335/12*10*$F335*$G335*$I335*$M335)</f>
        <v>0</v>
      </c>
      <c r="W335" s="123"/>
      <c r="X335" s="123">
        <f>(W335/12*2*$E335*$G335*$H335*$M335)+(W335/12*10*$F335*$G335*$I335*$M335)</f>
        <v>0</v>
      </c>
      <c r="Y335" s="123"/>
      <c r="Z335" s="123">
        <f>(Y335/12*2*$E335*$G335*$H335*$M335)+(Y335/12*10*$F335*$G335*$I335*$M335)</f>
        <v>0</v>
      </c>
      <c r="AA335" s="123"/>
      <c r="AB335" s="123">
        <f>(AA335*$E335*$G335*$H335*$M335)/12*2+(AA335*$F335*$G335*$I335*$M335)/12*10</f>
        <v>0</v>
      </c>
      <c r="AC335" s="123"/>
      <c r="AD335" s="123"/>
      <c r="AE335" s="123">
        <f>204+14</f>
        <v>218</v>
      </c>
      <c r="AF335" s="127">
        <f>(AE335/12*2*$E335*$G335*$H335*$M335)+(AE335/12*10*$F335*$G335*$I335*$M335)</f>
        <v>5958337.3485999992</v>
      </c>
      <c r="AG335" s="123">
        <f>130-5</f>
        <v>125</v>
      </c>
      <c r="AH335" s="123">
        <f>(AG335/12*2*$E335*$G335*$H335*$M335)+(AG335/12*10*$F335*$G335*$I335*$M335)</f>
        <v>3416477.8374999999</v>
      </c>
      <c r="AI335" s="130">
        <v>400</v>
      </c>
      <c r="AJ335" s="123">
        <f>(AI335/12*2*$E335*$G335*$H335*$M335)+(AI335/12*10*$F335*$G335*$I335*$M335)</f>
        <v>10932729.08</v>
      </c>
      <c r="AK335" s="284">
        <v>360</v>
      </c>
      <c r="AL335" s="126">
        <f>(AK335/12*2*$E335*$G335*$H335*$N335)+(AK335/12*10*$F335*$G335*$I335*$N335)</f>
        <v>11807347.406400001</v>
      </c>
      <c r="AM335" s="132"/>
      <c r="AN335" s="123">
        <f>(AM335/12*2*$E335*$G335*$H335*$N335)+(AM335/12*10*$F335*$G335*$I335*$N335)</f>
        <v>0</v>
      </c>
      <c r="AO335" s="130">
        <v>14</v>
      </c>
      <c r="AP335" s="123">
        <f>(AO335/12*2*$E335*$G335*$H335*$N335)+(AO335/12*10*$F335*$G335*$I335*$N335)</f>
        <v>459174.62136000005</v>
      </c>
      <c r="AQ335" s="123">
        <v>96</v>
      </c>
      <c r="AR335" s="123">
        <v>3134581.9700000058</v>
      </c>
      <c r="AS335" s="123"/>
      <c r="AT335" s="123">
        <f>(AS335*$E335*$G335*$H335*$M335)/12*3+(AS335*$F335*$G335*$I335*$M335)/12*9</f>
        <v>0</v>
      </c>
      <c r="AU335" s="123"/>
      <c r="AV335" s="123"/>
      <c r="AW335" s="123">
        <v>90</v>
      </c>
      <c r="AX335" s="123">
        <f>(AW335/12*2*$E335*$G335*$H335*$M335)+(AW335/12*10*$F335*$G335*$I335*$M335)</f>
        <v>2459864.0430000001</v>
      </c>
      <c r="AY335" s="123">
        <v>340</v>
      </c>
      <c r="AZ335" s="123">
        <f>(AY335/12*2*$E335*$G335*$H335*$N335)+(AY335/12*10*$F335*$G335*$I335*$N335)</f>
        <v>11151383.661599999</v>
      </c>
      <c r="BA335" s="123"/>
      <c r="BB335" s="123">
        <f>(BA335/12*2*$E335*$G335*$H335*$N335)+(BA335/12*10*$F335*$G335*$I335*$N335)</f>
        <v>0</v>
      </c>
      <c r="BC335" s="123"/>
      <c r="BD335" s="123">
        <f>(BC335/12*2*$E335*$G335*$H335*$N335)+(BC335/12*10*$F335*$G335*$I335*$N335)</f>
        <v>0</v>
      </c>
      <c r="BE335" s="123">
        <v>100</v>
      </c>
      <c r="BF335" s="123">
        <f>(BE335/12*10*$F335*$G335*$I335*$N335)</f>
        <v>2729372.1</v>
      </c>
      <c r="BG335" s="123">
        <v>78</v>
      </c>
      <c r="BH335" s="123">
        <f>(BG335/12*2*$E335*$G335*$H335*$N335)+(BG335/12*10*$F335*$G335*$I335*$N335)</f>
        <v>2558258.6047199997</v>
      </c>
      <c r="BI335" s="123">
        <v>122</v>
      </c>
      <c r="BJ335" s="123">
        <f>(BI335/12*2*$E335*$G335*$H335*$N335)+(BI335/12*10*$F335*$G335*$I335*$N335)</f>
        <v>4001378.8432799997</v>
      </c>
      <c r="BK335" s="123">
        <v>128</v>
      </c>
      <c r="BL335" s="123">
        <f>(BK335/12*2*$E335*$G335*$H335*$N335)+(BK335/12*10*$F335*$G335*$I335*$N335)</f>
        <v>4198167.9667199999</v>
      </c>
      <c r="BM335" s="123"/>
      <c r="BN335" s="123"/>
      <c r="BO335" s="123"/>
      <c r="BP335" s="123">
        <f>(BO335/12*2*$E335*$G335*$H335*$M335)+(BO335/12*10*$F335*$G335*$I335*$M335)</f>
        <v>0</v>
      </c>
      <c r="BQ335" s="123"/>
      <c r="BR335" s="123">
        <f>(BQ335/12*2*$E335*$G335*$H335*$M335)+(BQ335/12*10*$F335*$G335*$I335*$M335)</f>
        <v>0</v>
      </c>
      <c r="BS335" s="123">
        <v>110</v>
      </c>
      <c r="BT335" s="123">
        <f>(BS335/12*2*$E335*$G335*$H335*$N335)+(BS335/12*10*$F335*$G335*$I335*$N335)</f>
        <v>3607800.5964000002</v>
      </c>
      <c r="BU335" s="123">
        <v>150</v>
      </c>
      <c r="BV335" s="123">
        <f>(BU335/12*2*$E335*$G335*$H335*$M335)+(BU335/12*10*$F335*$G335*$I335*$M335)</f>
        <v>4099773.4050000003</v>
      </c>
      <c r="BW335" s="123">
        <v>400</v>
      </c>
      <c r="BX335" s="123">
        <f>(BW335/12*2*$E335*$G335*$H335*$M335)+(BW335/12*10*$F335*$G335*$I335*$M335)</f>
        <v>10932729.08</v>
      </c>
      <c r="BY335" s="123">
        <v>100</v>
      </c>
      <c r="BZ335" s="123">
        <f>(BY335/12*2*$E335*$G335*$H335*$M335)+(BY335/12*10*$F335*$G335*$I335*$M335)</f>
        <v>2733182.27</v>
      </c>
      <c r="CA335" s="123">
        <v>324</v>
      </c>
      <c r="CB335" s="123">
        <f>(CA335/12*2*$E335*$G335*$H335*$M335)+(CA335/12*10*$F335*$G335*$I335*$M335)</f>
        <v>8855510.5547999982</v>
      </c>
      <c r="CC335" s="123">
        <v>250</v>
      </c>
      <c r="CD335" s="123">
        <f>(CC335/12*2*$E335*$G335*$H335*$M335)+(CC335/12*10*$F335*$G335*$I335*$M335)</f>
        <v>6832955.6749999998</v>
      </c>
      <c r="CE335" s="123">
        <v>120</v>
      </c>
      <c r="CF335" s="123">
        <f>(CE335/12*10*$F335*$G335*$I335*$N335)</f>
        <v>3275246.52</v>
      </c>
      <c r="CG335" s="132">
        <v>150</v>
      </c>
      <c r="CH335" s="123">
        <f>(CG335/12*2*$E335*$G335*$H335*$N335)+(CG335/12*10*$F335*$G335*$I335*$N335)</f>
        <v>4919728.0860000001</v>
      </c>
      <c r="CI335" s="123"/>
      <c r="CJ335" s="127">
        <f>(CI335*$E335*$G335*$H335*$N335)</f>
        <v>0</v>
      </c>
      <c r="CK335" s="123"/>
      <c r="CL335" s="123">
        <f>(CK335/12*2*$E335*$G335*$H335*$N335)+(CK335/12*10*$F335*$G335*$I335*$N335)</f>
        <v>0</v>
      </c>
      <c r="CM335" s="123">
        <v>5</v>
      </c>
      <c r="CN335" s="123">
        <f>(CM335/12*2*$E335*$G335*$H335*$N335)+(CM335/12*10*$F335*$G335*$I335*$N335)</f>
        <v>163990.9362</v>
      </c>
      <c r="CO335" s="123">
        <v>186</v>
      </c>
      <c r="CP335" s="123">
        <v>1117973.2599999995</v>
      </c>
      <c r="CQ335" s="123">
        <v>10</v>
      </c>
      <c r="CR335" s="123">
        <f>(CQ335/12*2*$E335*$G335*$H335*$O335)+(CQ335/12*10*$F335*$G335*$I335*$O335)</f>
        <v>435356.89015000005</v>
      </c>
      <c r="CS335" s="123">
        <v>50</v>
      </c>
      <c r="CT335" s="127">
        <f>(CS335/12*2*$E335*$G335*$H335*$P335)+(CS335/12*10*$F335*$G335*$I335*$P335)</f>
        <v>2508670.8692500005</v>
      </c>
      <c r="CU335" s="127"/>
      <c r="CV335" s="127"/>
      <c r="CW335" s="126">
        <f t="shared" si="494"/>
        <v>4269</v>
      </c>
      <c r="CX335" s="126">
        <f t="shared" si="494"/>
        <v>121664806.81207997</v>
      </c>
    </row>
    <row r="336" spans="1:102" s="6" customFormat="1" ht="45" customHeight="1" x14ac:dyDescent="0.25">
      <c r="A336" s="91"/>
      <c r="B336" s="116">
        <v>267</v>
      </c>
      <c r="C336" s="117" t="s">
        <v>790</v>
      </c>
      <c r="D336" s="161" t="s">
        <v>791</v>
      </c>
      <c r="E336" s="95">
        <v>28004</v>
      </c>
      <c r="F336" s="96">
        <v>29405</v>
      </c>
      <c r="G336" s="107">
        <v>1.7</v>
      </c>
      <c r="H336" s="110">
        <v>0.9</v>
      </c>
      <c r="I336" s="110">
        <v>0.85</v>
      </c>
      <c r="J336" s="203"/>
      <c r="K336" s="203"/>
      <c r="L336" s="63"/>
      <c r="M336" s="120">
        <v>1.4</v>
      </c>
      <c r="N336" s="120">
        <v>1.68</v>
      </c>
      <c r="O336" s="120">
        <v>2.23</v>
      </c>
      <c r="P336" s="121">
        <v>2.57</v>
      </c>
      <c r="Q336" s="122">
        <v>500</v>
      </c>
      <c r="R336" s="123">
        <f>(Q336/12*2*$E336*$G336*$H336*$M336*$R$11)+(Q336/12*10*$F336*$G336*$I336*$M336*$R$11)</f>
        <v>32763146.441666663</v>
      </c>
      <c r="S336" s="124">
        <v>163</v>
      </c>
      <c r="T336" s="125">
        <f>(S336/12*2*$E336*$G336*$H336*$M336*$R$11)+(S336/12*10*$F336*$G336*$I336*$M336*$R$11)</f>
        <v>10680785.739983335</v>
      </c>
      <c r="U336" s="123"/>
      <c r="V336" s="123">
        <f>(U336/12*2*$E336*$G336*$H336*$M336*$V$11)+(U336/12*10*$F336*$G336*$I336*$M336*$V$12)</f>
        <v>0</v>
      </c>
      <c r="W336" s="123"/>
      <c r="X336" s="126">
        <f>(W336/12*2*$E336*$G336*$H336*$M336*$X$11)+(W336/12*10*$F336*$G336*$I336*$M336*$X$12)</f>
        <v>0</v>
      </c>
      <c r="Y336" s="123"/>
      <c r="Z336" s="123">
        <f>(Y336/12*2*$E336*$G336*$H336*$M336*$Z$11)+(Y336/12*10*$F336*$G336*$I336*$M336*$Z$12)</f>
        <v>0</v>
      </c>
      <c r="AA336" s="123"/>
      <c r="AB336" s="123">
        <f>(AA336/12*2*$E336*$G336*$H336*$M336*$AB$11)+(AA336/12*10*$F336*$G336*$I336*$M336*$AB$11)</f>
        <v>0</v>
      </c>
      <c r="AC336" s="123"/>
      <c r="AD336" s="123"/>
      <c r="AE336" s="123">
        <v>20</v>
      </c>
      <c r="AF336" s="123">
        <f>(AE336/12*2*$E336*$G336*$H336*$M336*$AF$11)+(AE336/12*10*$F336*$G336*$I336*$M336*$AF$11)</f>
        <v>1310525.8576666669</v>
      </c>
      <c r="AG336" s="135">
        <v>0</v>
      </c>
      <c r="AH336" s="136">
        <f>(AG336/12*2*$E336*$G336*$H336*$M336*$AH$11)+(AG336/12*10*$F336*$G336*$I336*$M336*$AH$11)</f>
        <v>0</v>
      </c>
      <c r="AI336" s="123"/>
      <c r="AJ336" s="123">
        <f>(AI336/12*2*$E336*$G336*$H336*$M336*$AJ$11)+(AI336/12*5*$F336*$G336*$I336*$M336*$AJ$12)+(AI336/12*5*$F336*$G336*$I336*$M336*$AJ$13)</f>
        <v>0</v>
      </c>
      <c r="AK336" s="123">
        <v>6</v>
      </c>
      <c r="AL336" s="123">
        <f>(AK336/12*2*$E336*$G336*$H336*$N336*$AL$11)+(AK336/12*5*$F336*$G336*$I336*$N336*$AL$12)+(AK336/12*5*$F336*$G336*$I336*$N336*$AL$13)</f>
        <v>554000.00418000005</v>
      </c>
      <c r="AM336" s="132"/>
      <c r="AN336" s="123">
        <f>(AM336/12*2*$E336*$G336*$H336*$N336*$AN$11)+(AM336/12*10*$F336*$G336*$I336*$N336*$AN$12)</f>
        <v>0</v>
      </c>
      <c r="AO336" s="130"/>
      <c r="AP336" s="127">
        <f>(AO336/12*2*$E336*$G336*$H336*$N336*$AP$11)+(AO336/12*10*$F336*$G336*$I336*$N336*$AP$11)</f>
        <v>0</v>
      </c>
      <c r="AQ336" s="127">
        <v>0</v>
      </c>
      <c r="AR336" s="127">
        <v>0</v>
      </c>
      <c r="AS336" s="123"/>
      <c r="AT336" s="123"/>
      <c r="AU336" s="123"/>
      <c r="AV336" s="126"/>
      <c r="AW336" s="123"/>
      <c r="AX336" s="123">
        <f>(AW336/12*2*$E336*$G336*$H336*$M336*$AX$11)+(AW336/12*10*$F336*$G336*$I336*$M336*$AX$12)</f>
        <v>0</v>
      </c>
      <c r="AY336" s="123">
        <v>20</v>
      </c>
      <c r="AZ336" s="123">
        <f>(AY336/12*2*$E336*$G336*$H336*$N336*$AZ$11)+(AY336/12*10*$F336*$G336*$I336*$N336*$AZ$11)</f>
        <v>1572631.0292000002</v>
      </c>
      <c r="BA336" s="123"/>
      <c r="BB336" s="123">
        <f>(BA336/12*2*$E336*$G336*$H336*$N336*$BB$11)+(BA336/12*10*$F336*$G336*$I336*$N336*$BB$12)</f>
        <v>0</v>
      </c>
      <c r="BC336" s="123"/>
      <c r="BD336" s="126"/>
      <c r="BE336" s="123"/>
      <c r="BF336" s="123">
        <f>(BE336/12*10*$F336*$G336*$I336*$N336*$BF$12)</f>
        <v>0</v>
      </c>
      <c r="BG336" s="123"/>
      <c r="BH336" s="123">
        <f>(BG336/12*2*$E336*$G336*$H336*$N336*$BH$11)+(BG336/12*10*$F336*$G336*$I336*$N336*$BH$11)</f>
        <v>0</v>
      </c>
      <c r="BI336" s="123"/>
      <c r="BJ336" s="126">
        <f>(BI336/12*2*$E336*$G336*$H336*$N336*$BJ$11)+(BI336/12*10*$F336*$G336*$I336*$N336*$BJ$11)</f>
        <v>0</v>
      </c>
      <c r="BK336" s="123"/>
      <c r="BL336" s="127">
        <f>(BK336/12*2*$E336*$G336*$H336*$N336*$BL$11)+(BK336/12*10*$F336*$G336*$I336*$N336*$BL$11)</f>
        <v>0</v>
      </c>
      <c r="BM336" s="123"/>
      <c r="BN336" s="123">
        <f>(BM336/12*2*$E336*$G336*$H336*$M336*$BN$11)+(BM336/12*10*$F336*$G336*$I336*$M336*$BN$11)</f>
        <v>0</v>
      </c>
      <c r="BO336" s="123"/>
      <c r="BP336" s="123">
        <f>(BO336/12*2*$E336*$G336*$H336*$M336*$BP$11)+(BO336/12*10*$F336*$G336*$I336*$M336*$BP$12)</f>
        <v>0</v>
      </c>
      <c r="BQ336" s="123"/>
      <c r="BR336" s="123">
        <f>(BQ336/12*2*$E336*$G336*$H336*$M336*$BR$11)+(BQ336/12*10*$F336*$G336*$I336*$M336*$BR$11)</f>
        <v>0</v>
      </c>
      <c r="BS336" s="123"/>
      <c r="BT336" s="123">
        <f>(BS336/12*2*$E336*$G336*$H336*$N336*$BT$11)+(BS336/12*10*$F336*$G336*$I336*$N336*$BT$11)</f>
        <v>0</v>
      </c>
      <c r="BU336" s="123"/>
      <c r="BV336" s="126">
        <f>(BU336/12*2*$E336*$G336*$H336*$M336*$BV$11)+(BU336/12*10*$F336*$G336*$I336*$M336*$BV$11)</f>
        <v>0</v>
      </c>
      <c r="BW336" s="123"/>
      <c r="BX336" s="123">
        <f>(BW336/12*2*$E336*$G336*$H336*$M336*$BX$11)+(BW336/12*10*$F336*$G336*$I336*$M336*$BX$11)</f>
        <v>0</v>
      </c>
      <c r="BY336" s="123"/>
      <c r="BZ336" s="123">
        <f>(BY336/12*2*$E336*$G336*$H336*$M336*$BZ$11)+(BY336/12*10*$F336*$G336*$I336*$M336*$BZ$11)</f>
        <v>0</v>
      </c>
      <c r="CA336" s="123"/>
      <c r="CB336" s="123">
        <f>(CA336/12*2*$E336*$G336*$H336*$M336*$CB$11)+(CA336/12*10*$F336*$G336*$I336*$M336*$CB$11)</f>
        <v>0</v>
      </c>
      <c r="CC336" s="123"/>
      <c r="CD336" s="123">
        <f>(CC336/12*2*$E336*$G336*$H336*$M336*$CD$11)+(CC336/12*10*$F336*$G336*$I336*$M336*$CD$11)</f>
        <v>0</v>
      </c>
      <c r="CE336" s="123"/>
      <c r="CF336" s="123">
        <f>(CE336/12*10*$F336*$G336*$I336*$N336*$CF$11)</f>
        <v>0</v>
      </c>
      <c r="CG336" s="132"/>
      <c r="CH336" s="123">
        <f>(CG336/12*2*$E336*$G336*$H336*$N336*$CH$11)+(CG336/12*10*$F336*$G336*$I336*$N336*$CH$11)</f>
        <v>0</v>
      </c>
      <c r="CI336" s="123"/>
      <c r="CJ336" s="127"/>
      <c r="CK336" s="123"/>
      <c r="CL336" s="123">
        <f>(CK336/12*2*$E336*$G336*$H336*$N336*$CL$11)+(CK336/12*10*$F336*$G336*$I336*$N336*$CL$12)</f>
        <v>0</v>
      </c>
      <c r="CM336" s="130"/>
      <c r="CN336" s="123">
        <f>(CM336/12*2*$E336*$G336*$H336*$N336*$CN$11)+(CM336/12*10*$F336*$G336*$I336*$N336*$CN$11)</f>
        <v>0</v>
      </c>
      <c r="CO336" s="123">
        <v>0</v>
      </c>
      <c r="CP336" s="123">
        <v>0</v>
      </c>
      <c r="CQ336" s="123"/>
      <c r="CR336" s="123">
        <f>(CQ336/12*2*$E336*$G336*$H336*$O336*$CR$11)+(CQ336/12*10*$F336*$G336*$I336*$O336*$CR$11)</f>
        <v>0</v>
      </c>
      <c r="CS336" s="123"/>
      <c r="CT336" s="133">
        <f>(CS336/12*2*$E336*$G336*$H336*$P336*$CT$11)+(CS336/12*10*$F336*$G336*$I336*$P336*$CT$11)</f>
        <v>0</v>
      </c>
      <c r="CU336" s="127"/>
      <c r="CV336" s="123"/>
      <c r="CW336" s="126">
        <f t="shared" si="494"/>
        <v>709</v>
      </c>
      <c r="CX336" s="126">
        <f t="shared" si="494"/>
        <v>46881089.072696663</v>
      </c>
    </row>
    <row r="337" spans="1:102" s="6" customFormat="1" x14ac:dyDescent="0.25">
      <c r="A337" s="91"/>
      <c r="B337" s="116">
        <v>268</v>
      </c>
      <c r="C337" s="117" t="s">
        <v>792</v>
      </c>
      <c r="D337" s="161" t="s">
        <v>793</v>
      </c>
      <c r="E337" s="95">
        <v>28004</v>
      </c>
      <c r="F337" s="96">
        <v>29405</v>
      </c>
      <c r="G337" s="119">
        <v>0.78</v>
      </c>
      <c r="H337" s="107">
        <v>1</v>
      </c>
      <c r="I337" s="108"/>
      <c r="J337" s="108"/>
      <c r="K337" s="108"/>
      <c r="L337" s="63"/>
      <c r="M337" s="120">
        <v>1.4</v>
      </c>
      <c r="N337" s="120">
        <v>1.68</v>
      </c>
      <c r="O337" s="120">
        <v>2.23</v>
      </c>
      <c r="P337" s="121">
        <v>2.57</v>
      </c>
      <c r="Q337" s="122">
        <v>100</v>
      </c>
      <c r="R337" s="123">
        <f>(Q337/12*2*$E337*$G337*$H337*$M337*$R$11)+(Q337/12*10*$F337*$G337*$H337*$M337*$R$11)</f>
        <v>3504080.5800000005</v>
      </c>
      <c r="S337" s="124">
        <v>508</v>
      </c>
      <c r="T337" s="125">
        <f>(S337/12*2*$E337*$G337*$H337*$M337*$R$11)+(S337/12*10*$F337*$G337*$H337*$M337*$R$11)</f>
        <v>17800729.346400004</v>
      </c>
      <c r="U337" s="123"/>
      <c r="V337" s="123">
        <f>(U337/12*2*$E337*$G337*$H337*$M337*$V$11)+(U337/12*10*$F337*$G337*$H337*$M337*$V$12)</f>
        <v>0</v>
      </c>
      <c r="W337" s="123"/>
      <c r="X337" s="126">
        <f>(W337/12*2*$E337*$G337*$H337*$M337*$X$11)+(W337/12*10*$F337*$G337*$H337*$M337*$X$12)</f>
        <v>0</v>
      </c>
      <c r="Y337" s="123"/>
      <c r="Z337" s="123">
        <f>(Y337/12*2*$E337*$G337*$H337*$M337*$Z$11)+(Y337/12*10*$F337*$G337*$H337*$M337*$Z$12)</f>
        <v>0</v>
      </c>
      <c r="AA337" s="123"/>
      <c r="AB337" s="123">
        <f>(AA337/12*2*$E337*$G337*$H337*$M337*$AB$11)+(AA337/12*10*$F337*$G337*$H337*$M337*$AB$11)</f>
        <v>0</v>
      </c>
      <c r="AC337" s="123"/>
      <c r="AD337" s="123"/>
      <c r="AE337" s="123">
        <v>5</v>
      </c>
      <c r="AF337" s="127">
        <f>(AE337/12*2*$E337*$G337*$H337*$M337*$AF$11)+(AE337/12*10*$F337*$G337*$H337*$M337*$AF$11)</f>
        <v>175204.02900000004</v>
      </c>
      <c r="AG337" s="123">
        <v>15</v>
      </c>
      <c r="AH337" s="126">
        <f>(AG337/12*2*$E337*$G337*$H337*$M337*$AH$11)+(AG337/12*10*$F337*$G337*$H337*$M337*$AH$11)</f>
        <v>525612.08700000006</v>
      </c>
      <c r="AI337" s="130">
        <v>24</v>
      </c>
      <c r="AJ337" s="123">
        <f t="shared" ref="AJ337:AJ338" si="495">(AI337/12*2*$E337*$G337*$H337*$M337*$AJ$11)+(AI337/12*5*$F337*$G337*$H337*$M337*$AJ$12)+(AI337/12*5*$F337*$G337*$H337*$M337*$AJ$13)</f>
        <v>987462.62159999995</v>
      </c>
      <c r="AK337" s="123">
        <v>60</v>
      </c>
      <c r="AL337" s="123">
        <f t="shared" ref="AL337:AL338" si="496">(AK337/12*2*$E337*$G337*$H337*$N337*$AL$11)+(AK337/12*5*$F337*$G337*$H337*$N337*$AL$12)++(AK337/12*5*$F337*$G337*$H337*$N337*$AL$13)</f>
        <v>2962387.8647999996</v>
      </c>
      <c r="AM337" s="132"/>
      <c r="AN337" s="123">
        <f>(AM337/12*2*$E337*$G337*$H337*$N337*$AN$11)+(AM337/12*10*$F337*$G337*$H337*$N337*$AN$12)</f>
        <v>0</v>
      </c>
      <c r="AO337" s="130">
        <v>3</v>
      </c>
      <c r="AP337" s="127">
        <f>(AO337/12*2*$E337*$G337*$H337*$N337*$AP$11)+(AO337/12*10*$F337*$G337*$H337*$N337*$AP$11)</f>
        <v>126146.90088</v>
      </c>
      <c r="AQ337" s="127">
        <v>0</v>
      </c>
      <c r="AR337" s="127">
        <v>0</v>
      </c>
      <c r="AS337" s="123"/>
      <c r="AT337" s="123">
        <f>(AS337/12*2*$E337*$G337*$H337*$M337*$AT$11)+(AS337/12*10*$F337*$G337*$H337*$M337*$AT$11)</f>
        <v>0</v>
      </c>
      <c r="AU337" s="123"/>
      <c r="AV337" s="126">
        <f>(AU337/12*2*$E337*$G337*$H337*$M337*$AV$11)+(AU337/12*10*$F337*$G337*$H337*$M337*$AV$12)</f>
        <v>0</v>
      </c>
      <c r="AW337" s="123">
        <v>7</v>
      </c>
      <c r="AX337" s="123">
        <f>(AW337/12*2*$E337*$G337*$H337*$M337*$AX$11)+(AW337/12*10*$F337*$G337*$H337*$M337*$AX$12)</f>
        <v>256345.74420000002</v>
      </c>
      <c r="AY337" s="123">
        <v>196</v>
      </c>
      <c r="AZ337" s="123">
        <f>(AY337/12*2*$E337*$G337*$H337*$N337*$AZ$11)+(AY337/12*10*$F337*$G337*$H337*$N337*$AZ$11)</f>
        <v>8241597.5241599996</v>
      </c>
      <c r="BA337" s="123"/>
      <c r="BB337" s="123">
        <f>(BA337/12*2*$E337*$G337*$H337*$N337*$BB$11)+(BA337/12*10*$F337*$G337*$H337*$N337*$BB$12)</f>
        <v>0</v>
      </c>
      <c r="BC337" s="123"/>
      <c r="BD337" s="126">
        <f>(BC337/12*2*$E337*$G337*$H337*$N337*$BD$11)+(BC337/12*10*$F337*$G337*$H337*$N337*$BD$12)</f>
        <v>0</v>
      </c>
      <c r="BE337" s="123">
        <v>10</v>
      </c>
      <c r="BF337" s="123">
        <f>(BE337/12*10*$F337*$G337*$H337*$N337*$BF$12)</f>
        <v>321102.60000000003</v>
      </c>
      <c r="BG337" s="123">
        <v>2</v>
      </c>
      <c r="BH337" s="123">
        <f>(BG337/12*2*$E337*$G337*$H337*$N337*$BH$11)+(BG337/12*10*$F337*$G337*$H337*$N337*$BH$11)</f>
        <v>68807.400479999997</v>
      </c>
      <c r="BI337" s="123">
        <v>8</v>
      </c>
      <c r="BJ337" s="126">
        <f>(BI337/12*2*$E337*$G337*$H337*$N337*$BJ$11)+(BI337/12*10*$F337*$G337*$H337*$N337*$BJ$11)</f>
        <v>366972.80255999998</v>
      </c>
      <c r="BK337" s="123">
        <v>35</v>
      </c>
      <c r="BL337" s="127">
        <f>(BK337/12*2*$E337*$G337*$H337*$N337*$BL$11)+(BK337/12*10*$F337*$G337*$H337*$N337*$BL$11)</f>
        <v>1605506.0111999996</v>
      </c>
      <c r="BM337" s="123"/>
      <c r="BN337" s="123">
        <f>(BM337/12*2*$E337*$G337*$H337*$M337*$BN$11)+(BM337/12*10*$F337*$G337*$H337*$M337*$BN$11)</f>
        <v>0</v>
      </c>
      <c r="BO337" s="123"/>
      <c r="BP337" s="123">
        <f>(BO337/12*2*$E337*$G337*$H337*$M337*$BP$11)+(BO337/12*10*$F337*$G337*$H337*$M337*$BP$12)</f>
        <v>0</v>
      </c>
      <c r="BQ337" s="123"/>
      <c r="BR337" s="123">
        <f>(BQ337/12*2*$E337*$G337*$H337*$M337*$BR$11)+(BQ337/12*10*$F337*$G337*$H337*$M337*$BR$11)</f>
        <v>0</v>
      </c>
      <c r="BS337" s="123">
        <v>47</v>
      </c>
      <c r="BT337" s="123">
        <f>(BS337/12*2*$E337*$G337*$H337*$N337*$BT$11)+(BS337/12*10*$F337*$G337*$H337*$N337*$BT$11)</f>
        <v>1796637.6791999999</v>
      </c>
      <c r="BU337" s="123"/>
      <c r="BV337" s="126">
        <f>(BU337/12*2*$E337*$G337*$H337*$M337*$BV$11)+(BU337/12*10*$F337*$G337*$H337*$M337*$BV$11)</f>
        <v>0</v>
      </c>
      <c r="BW337" s="123"/>
      <c r="BX337" s="123">
        <f>(BW337/12*2*$E337*$G337*$H337*$M337*$BX$11)+(BW337/12*10*$F337*$G337*$H337*$M337*$BX$11)</f>
        <v>0</v>
      </c>
      <c r="BY337" s="123"/>
      <c r="BZ337" s="123">
        <f>(BY337/12*2*$E337*$G337*$H337*$M337*$BZ$11)+(BY337/12*10*$F337*$G337*$H337*$M337*$BZ$11)</f>
        <v>0</v>
      </c>
      <c r="CA337" s="123">
        <v>30</v>
      </c>
      <c r="CB337" s="123">
        <f>(CA337/12*2*$E337*$G337*$H337*$M337*$CB$11)+(CA337/12*10*$F337*$G337*$H337*$M337*$CB$11)</f>
        <v>1146790.0079999999</v>
      </c>
      <c r="CC337" s="123">
        <v>35</v>
      </c>
      <c r="CD337" s="123">
        <f>(CC337/12*2*$E337*$G337*$H337*$M337*$CD$11)+(CC337/12*10*$F337*$G337*$H337*$M337*$CD$11)</f>
        <v>1114934.73</v>
      </c>
      <c r="CE337" s="123">
        <v>48</v>
      </c>
      <c r="CF337" s="123">
        <f>(CE337/12*10*$F337*$G337*$H337*$N337*$CF$11)</f>
        <v>1541292.48</v>
      </c>
      <c r="CG337" s="132">
        <v>277</v>
      </c>
      <c r="CH337" s="123">
        <f>(CG337/12*2*$E337*$G337*$H337*$N337*$CH$11)+(CG337/12*10*$F337*$G337*$H337*$N337*$CH$11)</f>
        <v>9529824.9664799999</v>
      </c>
      <c r="CI337" s="123"/>
      <c r="CJ337" s="127">
        <f>(CI337*$E337*$G337*$H337*$N337*CJ$11)</f>
        <v>0</v>
      </c>
      <c r="CK337" s="123"/>
      <c r="CL337" s="123">
        <f>(CK337/12*2*$E337*$G337*$H337*$N337*$CL$11)+(CK337/12*10*$F337*$G337*$H337*$N337*$CL$12)</f>
        <v>0</v>
      </c>
      <c r="CM337" s="130">
        <v>3</v>
      </c>
      <c r="CN337" s="123">
        <f>(CM337/12*2*$E337*$G337*$H337*$N337*$CN$11)+(CM337/12*10*$F337*$G337*$H337*$N337*$CN$11)</f>
        <v>114679.00079999999</v>
      </c>
      <c r="CO337" s="123">
        <v>17</v>
      </c>
      <c r="CP337" s="123">
        <v>38532.31</v>
      </c>
      <c r="CQ337" s="123"/>
      <c r="CR337" s="123">
        <f>(CQ337/12*2*$E337*$G337*$H337*$O337*$CR$11)+(CQ337/12*10*$F337*$G337*$H337*$O337*$CR$11)</f>
        <v>0</v>
      </c>
      <c r="CS337" s="123">
        <v>10</v>
      </c>
      <c r="CT337" s="133">
        <f>(CS337/12*2*$E337*$G337*$H337*$P337*$CT$11)+(CS337/12*10*$F337*$G337*$H337*$P337*$CT$11)</f>
        <v>584771.88899999997</v>
      </c>
      <c r="CU337" s="127"/>
      <c r="CV337" s="123">
        <f>(CU337*$E337*$G337*$H337*$M337*CV$11)/12*6+(CU337*$E337*$G337*$H337*1*CV$11)/12*6</f>
        <v>0</v>
      </c>
      <c r="CW337" s="126">
        <f t="shared" si="494"/>
        <v>1440</v>
      </c>
      <c r="CX337" s="126">
        <f t="shared" si="494"/>
        <v>52809418.575760014</v>
      </c>
    </row>
    <row r="338" spans="1:102" x14ac:dyDescent="0.25">
      <c r="A338" s="91"/>
      <c r="B338" s="116">
        <v>269</v>
      </c>
      <c r="C338" s="117" t="s">
        <v>794</v>
      </c>
      <c r="D338" s="161" t="s">
        <v>795</v>
      </c>
      <c r="E338" s="95">
        <v>28004</v>
      </c>
      <c r="F338" s="96">
        <v>29405</v>
      </c>
      <c r="G338" s="119">
        <v>1.54</v>
      </c>
      <c r="H338" s="107">
        <v>1</v>
      </c>
      <c r="I338" s="108"/>
      <c r="J338" s="108"/>
      <c r="K338" s="108"/>
      <c r="L338" s="63"/>
      <c r="M338" s="120">
        <v>1.4</v>
      </c>
      <c r="N338" s="120">
        <v>1.68</v>
      </c>
      <c r="O338" s="120">
        <v>2.23</v>
      </c>
      <c r="P338" s="121">
        <v>2.57</v>
      </c>
      <c r="Q338" s="122">
        <v>7</v>
      </c>
      <c r="R338" s="123">
        <f>(Q338/12*2*$E338*$G338*$H338*$M338*$R$11)+(Q338/12*10*$F338*$G338*$H338*$M338*$R$11)</f>
        <v>484281.90580000007</v>
      </c>
      <c r="S338" s="124">
        <v>14</v>
      </c>
      <c r="T338" s="125">
        <f>(S338/12*2*$E338*$G338*$H338*$M338*$R$11)+(S338/12*10*$F338*$G338*$H338*$M338*$R$11)</f>
        <v>968563.81160000013</v>
      </c>
      <c r="U338" s="123"/>
      <c r="V338" s="123">
        <f>(U338/12*2*$E338*$G338*$H338*$M338*$V$11)+(U338/12*10*$F338*$G338*$H338*$M338*$V$12)</f>
        <v>0</v>
      </c>
      <c r="W338" s="123"/>
      <c r="X338" s="126">
        <f>(W338/12*2*$E338*$G338*$H338*$M338*$X$11)+(W338/12*10*$F338*$G338*$H338*$M338*$X$12)</f>
        <v>0</v>
      </c>
      <c r="Y338" s="123"/>
      <c r="Z338" s="123">
        <f>(Y338/12*2*$E338*$G338*$H338*$M338*$Z$11)+(Y338/12*10*$F338*$G338*$H338*$M338*$Z$12)</f>
        <v>0</v>
      </c>
      <c r="AA338" s="123"/>
      <c r="AB338" s="123">
        <f>(AA338/12*2*$E338*$G338*$H338*$M338*$AB$11)+(AA338/12*10*$F338*$G338*$H338*$M338*$AB$11)</f>
        <v>0</v>
      </c>
      <c r="AC338" s="123"/>
      <c r="AD338" s="123"/>
      <c r="AE338" s="123"/>
      <c r="AF338" s="123">
        <f>(AE338/12*2*$E338*$G338*$H338*$M338*$AF$11)+(AE338/12*10*$F338*$G338*$H338*$M338*$AF$11)</f>
        <v>0</v>
      </c>
      <c r="AG338" s="135">
        <v>0</v>
      </c>
      <c r="AH338" s="136">
        <f>(AG338/12*2*$E338*$G338*$H338*$M338*$AH$11)+(AG338/12*10*$F338*$G338*$H338*$M338*$AH$11)</f>
        <v>0</v>
      </c>
      <c r="AI338" s="123"/>
      <c r="AJ338" s="123">
        <f t="shared" si="495"/>
        <v>0</v>
      </c>
      <c r="AK338" s="123">
        <v>5</v>
      </c>
      <c r="AL338" s="123">
        <f t="shared" si="496"/>
        <v>487401.42220000003</v>
      </c>
      <c r="AM338" s="132"/>
      <c r="AN338" s="123">
        <f>(AM338/12*2*$E338*$G338*$H338*$N338*$AN$11)+(AM338/12*10*$F338*$G338*$H338*$N338*$AN$12)</f>
        <v>0</v>
      </c>
      <c r="AO338" s="130"/>
      <c r="AP338" s="127">
        <f>(AO338/12*2*$E338*$G338*$H338*$N338*$AP$11)+(AO338/12*10*$F338*$G338*$H338*$N338*$AP$11)</f>
        <v>0</v>
      </c>
      <c r="AQ338" s="127">
        <v>0</v>
      </c>
      <c r="AR338" s="127">
        <v>0</v>
      </c>
      <c r="AS338" s="123"/>
      <c r="AT338" s="123">
        <f>(AS338/12*2*$E338*$G338*$H338*$M338*$AT$11)+(AS338/12*10*$F338*$G338*$H338*$M338*$AT$11)</f>
        <v>0</v>
      </c>
      <c r="AU338" s="123"/>
      <c r="AV338" s="126">
        <f>(AU338/12*2*$E338*$G338*$H338*$M338*$AV$11)+(AU338/12*10*$F338*$G338*$H338*$M338*$AV$12)</f>
        <v>0</v>
      </c>
      <c r="AW338" s="123"/>
      <c r="AX338" s="123">
        <f>(AW338/12*2*$E338*$G338*$H338*$M338*$AX$11)+(AW338/12*10*$F338*$G338*$H338*$M338*$AX$12)</f>
        <v>0</v>
      </c>
      <c r="AY338" s="123">
        <v>0</v>
      </c>
      <c r="AZ338" s="123">
        <f>(AY338/12*2*$E338*$G338*$H338*$N338*$AZ$11)+(AY338/12*10*$F338*$G338*$H338*$N338*$AZ$11)</f>
        <v>0</v>
      </c>
      <c r="BA338" s="123"/>
      <c r="BB338" s="123">
        <f>(BA338/12*2*$E338*$G338*$H338*$N338*$BB$11)+(BA338/12*10*$F338*$G338*$H338*$N338*$BB$12)</f>
        <v>0</v>
      </c>
      <c r="BC338" s="123"/>
      <c r="BD338" s="126">
        <f>(BC338/12*2*$E338*$G338*$H338*$N338*$BD$11)+(BC338/12*10*$F338*$G338*$H338*$N338*$BD$12)</f>
        <v>0</v>
      </c>
      <c r="BE338" s="123"/>
      <c r="BF338" s="123">
        <f>(BE338/12*10*$F338*$G338*$H338*$N338*$BF$12)</f>
        <v>0</v>
      </c>
      <c r="BG338" s="123"/>
      <c r="BH338" s="123">
        <f>(BG338/12*2*$E338*$G338*$H338*$N338*$BH$11)+(BG338/12*10*$F338*$G338*$H338*$N338*$BH$11)</f>
        <v>0</v>
      </c>
      <c r="BI338" s="123"/>
      <c r="BJ338" s="126">
        <f>(BI338/12*2*$E338*$G338*$H338*$N338*$BJ$11)+(BI338/12*10*$F338*$G338*$H338*$N338*$BJ$11)</f>
        <v>0</v>
      </c>
      <c r="BK338" s="123"/>
      <c r="BL338" s="127">
        <f>(BK338/12*2*$E338*$G338*$H338*$N338*$BL$11)+(BK338/12*10*$F338*$G338*$H338*$N338*$BL$11)</f>
        <v>0</v>
      </c>
      <c r="BM338" s="123"/>
      <c r="BN338" s="123">
        <f>(BM338/12*2*$E338*$G338*$H338*$M338*$BN$11)+(BM338/12*10*$F338*$G338*$H338*$M338*$BN$11)</f>
        <v>0</v>
      </c>
      <c r="BO338" s="123"/>
      <c r="BP338" s="123">
        <f>(BO338/12*2*$E338*$G338*$H338*$M338*$BP$11)+(BO338/12*10*$F338*$G338*$H338*$M338*$BP$12)</f>
        <v>0</v>
      </c>
      <c r="BQ338" s="123"/>
      <c r="BR338" s="123">
        <f>(BQ338/12*2*$E338*$G338*$H338*$M338*$BR$11)+(BQ338/12*10*$F338*$G338*$H338*$M338*$BR$11)</f>
        <v>0</v>
      </c>
      <c r="BS338" s="123"/>
      <c r="BT338" s="123">
        <f>(BS338/12*2*$E338*$G338*$H338*$N338*$BT$11)+(BS338/12*10*$F338*$G338*$H338*$N338*$BT$11)</f>
        <v>0</v>
      </c>
      <c r="BU338" s="123"/>
      <c r="BV338" s="126">
        <f>(BU338/12*2*$E338*$G338*$H338*$M338*$BV$11)+(BU338/12*10*$F338*$G338*$H338*$M338*$BV$11)</f>
        <v>0</v>
      </c>
      <c r="BW338" s="123"/>
      <c r="BX338" s="123">
        <f>(BW338/12*2*$E338*$G338*$H338*$M338*$BX$11)+(BW338/12*10*$F338*$G338*$H338*$M338*$BX$11)</f>
        <v>0</v>
      </c>
      <c r="BY338" s="123"/>
      <c r="BZ338" s="123">
        <f>(BY338/12*2*$E338*$G338*$H338*$M338*$BZ$11)+(BY338/12*10*$F338*$G338*$H338*$M338*$BZ$11)</f>
        <v>0</v>
      </c>
      <c r="CA338" s="123"/>
      <c r="CB338" s="123">
        <f>(CA338/12*2*$E338*$G338*$H338*$M338*$CB$11)+(CA338/12*10*$F338*$G338*$H338*$M338*$CB$11)</f>
        <v>0</v>
      </c>
      <c r="CC338" s="123"/>
      <c r="CD338" s="123">
        <f>(CC338/12*2*$E338*$G338*$H338*$M338*$CD$11)+(CC338/12*10*$F338*$G338*$H338*$M338*$CD$11)</f>
        <v>0</v>
      </c>
      <c r="CE338" s="123"/>
      <c r="CF338" s="123">
        <f>(CE338/12*10*$F338*$G338*$H338*$N338*$CF$11)</f>
        <v>0</v>
      </c>
      <c r="CG338" s="132"/>
      <c r="CH338" s="123">
        <f>(CG338/12*2*$E338*$G338*$H338*$N338*$CH$11)+(CG338/12*10*$F338*$G338*$H338*$N338*$CH$11)</f>
        <v>0</v>
      </c>
      <c r="CI338" s="123"/>
      <c r="CJ338" s="127">
        <f>(CI338*$E338*$G338*$H338*$N338*CJ$11)</f>
        <v>0</v>
      </c>
      <c r="CK338" s="123"/>
      <c r="CL338" s="123">
        <f>(CK338/12*2*$E338*$G338*$H338*$N338*$CL$11)+(CK338/12*10*$F338*$G338*$H338*$N338*$CL$12)</f>
        <v>0</v>
      </c>
      <c r="CM338" s="130"/>
      <c r="CN338" s="123">
        <f>(CM338/12*2*$E338*$G338*$H338*$N338*$CN$11)+(CM338/12*10*$F338*$G338*$H338*$N338*$CN$11)</f>
        <v>0</v>
      </c>
      <c r="CO338" s="123">
        <v>0</v>
      </c>
      <c r="CP338" s="123">
        <v>0</v>
      </c>
      <c r="CQ338" s="123"/>
      <c r="CR338" s="123">
        <f>(CQ338/12*2*$E338*$G338*$H338*$O338*$CR$11)+(CQ338/12*10*$F338*$G338*$H338*$O338*$CR$11)</f>
        <v>0</v>
      </c>
      <c r="CS338" s="123">
        <v>20</v>
      </c>
      <c r="CT338" s="133">
        <f>(CS338/12*2*$E338*$G338*$H338*$P338*$CT$11)+(CS338/12*10*$F338*$G338*$H338*$P338*$CT$11)</f>
        <v>2309099.2539999997</v>
      </c>
      <c r="CU338" s="127"/>
      <c r="CV338" s="123">
        <f>(CU338*$E338*$G338*$H338*$M338*CV$11)/12*6+(CU338*$E338*$G338*$H338*1*CV$11)/12*6</f>
        <v>0</v>
      </c>
      <c r="CW338" s="126">
        <f t="shared" si="494"/>
        <v>46</v>
      </c>
      <c r="CX338" s="126">
        <f t="shared" si="494"/>
        <v>4249346.3936000001</v>
      </c>
    </row>
    <row r="339" spans="1:102" s="6" customFormat="1" ht="30" customHeight="1" x14ac:dyDescent="0.25">
      <c r="A339" s="277" t="s">
        <v>163</v>
      </c>
      <c r="B339" s="116">
        <v>270</v>
      </c>
      <c r="C339" s="117" t="s">
        <v>796</v>
      </c>
      <c r="D339" s="184" t="s">
        <v>797</v>
      </c>
      <c r="E339" s="95">
        <v>28004</v>
      </c>
      <c r="F339" s="96">
        <v>29405</v>
      </c>
      <c r="G339" s="119">
        <v>0.75</v>
      </c>
      <c r="H339" s="110">
        <v>0.9</v>
      </c>
      <c r="I339" s="107"/>
      <c r="J339" s="107"/>
      <c r="K339" s="107"/>
      <c r="L339" s="63"/>
      <c r="M339" s="185">
        <v>1.4</v>
      </c>
      <c r="N339" s="185">
        <v>1.68</v>
      </c>
      <c r="O339" s="185">
        <v>2.23</v>
      </c>
      <c r="P339" s="185">
        <v>2.57</v>
      </c>
      <c r="Q339" s="122">
        <v>10</v>
      </c>
      <c r="R339" s="123">
        <f>(Q339/12*2*$E339*$G339*$H339*$M339)+(Q339/12*10*$F339*$G339*$H339*$M339)</f>
        <v>275670.67499999999</v>
      </c>
      <c r="S339" s="124"/>
      <c r="T339" s="125">
        <f>(S339/12*2*$E339*$G339*$H339*$M339)+(S339/12*10*$F339*$G339*$H339*$M339)</f>
        <v>0</v>
      </c>
      <c r="U339" s="123">
        <v>410</v>
      </c>
      <c r="V339" s="123">
        <f>(U339/12*2*$E339*$G339*$H339*$M339)+(U339/12*10*$F339*$G339*$H339*$M339)</f>
        <v>11302497.674999997</v>
      </c>
      <c r="W339" s="123"/>
      <c r="X339" s="123">
        <f>(W339/12*2*$E339*$G339*$H339*$M339)+(W339/12*10*$F339*$G339*$H339*$M339)</f>
        <v>0</v>
      </c>
      <c r="Y339" s="123"/>
      <c r="Z339" s="123">
        <f>(Y339/12*2*$E339*$G339*$H339*$M339)+(Y339/12*10*$F339*$G339*$H339*$M339)</f>
        <v>0</v>
      </c>
      <c r="AA339" s="123"/>
      <c r="AB339" s="123">
        <f>(AA339/12*2*$E339*$G339*$H339*$M339)+(AA339/12*10*$F339*$G339*$H339*$M339)</f>
        <v>0</v>
      </c>
      <c r="AC339" s="123"/>
      <c r="AD339" s="123"/>
      <c r="AE339" s="123">
        <v>28</v>
      </c>
      <c r="AF339" s="127">
        <f>(AE339/12*2*$E339*$G339*$H339*$M339)+(AE339/12*10*$F339*$G339*$H339*$M339)</f>
        <v>771877.89</v>
      </c>
      <c r="AG339" s="123">
        <f>100-2</f>
        <v>98</v>
      </c>
      <c r="AH339" s="123">
        <f>(AG339/12*2*$E339*$G339*$H339*$M339)+(AG339/12*10*$F339*$G339*$H339*$M339)</f>
        <v>2701572.6149999998</v>
      </c>
      <c r="AI339" s="130">
        <v>12</v>
      </c>
      <c r="AJ339" s="123">
        <f>(AI339/12*2*$E339*$G339*$H339*$M339)+(AI339/12*10*$F339*$G339*$H339*$M339)</f>
        <v>330804.81</v>
      </c>
      <c r="AK339" s="123">
        <v>40</v>
      </c>
      <c r="AL339" s="126">
        <f>(AK339/12*2*$E339*$G339*$H339*$N339)+(AK339/12*10*$F339*$G339*$H339*$N339)</f>
        <v>1323219.24</v>
      </c>
      <c r="AM339" s="132"/>
      <c r="AN339" s="123">
        <f>(AM339/12*2*$E339*$G339*$H339*$N339)+(AM339/12*10*$F339*$G339*$H339*$N339)</f>
        <v>0</v>
      </c>
      <c r="AO339" s="130">
        <v>37</v>
      </c>
      <c r="AP339" s="123">
        <f>(AO339/12*2*$E339*$G339*$H339*$N339)+(AO339/12*10*$F339*$G339*$H339*$N339)</f>
        <v>1223977.797</v>
      </c>
      <c r="AQ339" s="123">
        <v>73</v>
      </c>
      <c r="AR339" s="123">
        <v>2373851.0400000005</v>
      </c>
      <c r="AS339" s="123"/>
      <c r="AT339" s="123"/>
      <c r="AU339" s="123"/>
      <c r="AV339" s="123"/>
      <c r="AW339" s="123">
        <v>145</v>
      </c>
      <c r="AX339" s="123">
        <f>(AW339/12*2*$E339*$G339*$H339*$M339)+(AW339/12*10*$F339*$G339*$H339*$M339)</f>
        <v>3997224.7875000001</v>
      </c>
      <c r="AY339" s="123">
        <v>237</v>
      </c>
      <c r="AZ339" s="123">
        <f>(AY339/12*2*$E339*$G339*$H339*$N339)+(AY339/12*10*$F339*$G339*$H339*$N339)</f>
        <v>7840073.9970000004</v>
      </c>
      <c r="BA339" s="123">
        <v>384</v>
      </c>
      <c r="BB339" s="123">
        <f>(BA339/12*2*$E339*$G339*$H339*$N339)+(BA339/12*10*$F339*$G339*$H339*$N339)</f>
        <v>12702904.704</v>
      </c>
      <c r="BC339" s="123"/>
      <c r="BD339" s="123">
        <f>(BC339/12*2*$E339*$G339*$H339*$N339)+(BC339/12*10*$F339*$G339*$H339*$N339)</f>
        <v>0</v>
      </c>
      <c r="BE339" s="123">
        <v>115</v>
      </c>
      <c r="BF339" s="123">
        <f>(BE339/12*10*$F339*$G339*$H339*$N339)</f>
        <v>3195588.375</v>
      </c>
      <c r="BG339" s="123">
        <v>293</v>
      </c>
      <c r="BH339" s="123">
        <f>(BG339/12*2*$E339*$G339*$H339*$N339)+(BG339/12*10*$F339*$G339*$H339*$N339)</f>
        <v>9692580.9330000002</v>
      </c>
      <c r="BI339" s="123">
        <v>177</v>
      </c>
      <c r="BJ339" s="123">
        <f>(BI339/12*2*$E339*$G339*$H339*$N339)+(BI339/12*10*$F339*$G339*$H339*$N339)</f>
        <v>5855245.1370000001</v>
      </c>
      <c r="BK339" s="123">
        <v>213</v>
      </c>
      <c r="BL339" s="123">
        <f>(BK339/12*2*$E339*$G339*$H339*$N339)+(BK339/12*10*$F339*$G339*$H339*$N339)</f>
        <v>7046142.4529999997</v>
      </c>
      <c r="BM339" s="123">
        <v>420</v>
      </c>
      <c r="BN339" s="123">
        <f>(BM339/12*2*$E339*$G339*$H339*$M339)+(BM339/12*10*$F339*$G339*$H339*$M339)</f>
        <v>11578168.35</v>
      </c>
      <c r="BO339" s="123">
        <v>293</v>
      </c>
      <c r="BP339" s="123">
        <f>(BO339/12*2*$E339*$G339*$H339*$M339)+(BO339/12*10*$F339*$G339*$H339*$M339)</f>
        <v>8077150.7774999999</v>
      </c>
      <c r="BQ339" s="123"/>
      <c r="BR339" s="123">
        <f>(BQ339/12*2*$E339*$G339*$H339*$M339)+(BQ339/12*10*$F339*$G339*$H339*$M339)</f>
        <v>0</v>
      </c>
      <c r="BS339" s="123">
        <v>200</v>
      </c>
      <c r="BT339" s="123">
        <f>(BS339/12*2*$E339*$G339*$H339*$N339)+(BS339/12*10*$F339*$G339*$H339*$N339)</f>
        <v>6616096.2000000011</v>
      </c>
      <c r="BU339" s="123">
        <v>13</v>
      </c>
      <c r="BV339" s="123">
        <f>(BU339/12*2*$E339*$G339*$H339*$M339)+(BU339/12*10*$F339*$G339*$H339*$M339)</f>
        <v>358371.87749999994</v>
      </c>
      <c r="BW339" s="123">
        <v>20</v>
      </c>
      <c r="BX339" s="123">
        <f>(BW339/12*2*$E339*$G339*$H339*$M339)+(BW339/12*10*$F339*$G339*$H339*$M339)</f>
        <v>551341.35</v>
      </c>
      <c r="BY339" s="123">
        <v>90</v>
      </c>
      <c r="BZ339" s="123">
        <f>(BY339/12*2*$E339*$G339*$H339*$M339)+(BY339/12*10*$F339*$G339*$H339*$M339)</f>
        <v>2481036.0749999997</v>
      </c>
      <c r="CA339" s="123">
        <v>350</v>
      </c>
      <c r="CB339" s="123">
        <f>(CA339/12*2*$E339*$G339*$H339*$M339)+(CA339/12*10*$F339*$G339*$H339*$M339)</f>
        <v>9648473.625</v>
      </c>
      <c r="CC339" s="123">
        <v>174</v>
      </c>
      <c r="CD339" s="123">
        <f>(CC339/12*2*$E339*$G339*$H339*$M339)+(CC339/12*10*$F339*$G339*$H339*$M339)</f>
        <v>4796669.7449999992</v>
      </c>
      <c r="CE339" s="123"/>
      <c r="CF339" s="123">
        <f>(CE339/12*10*$F339*$G339*$H339*$N339)</f>
        <v>0</v>
      </c>
      <c r="CG339" s="132">
        <v>15</v>
      </c>
      <c r="CH339" s="123">
        <f>(CG339/12*2*$E339*$G339*$H339*$N339)+(CG339/12*10*$F339*$G339*$H339*$N339)</f>
        <v>496207.21499999997</v>
      </c>
      <c r="CI339" s="123"/>
      <c r="CJ339" s="123">
        <f>(CI339*$E339*$G339*$H339*$N339)</f>
        <v>0</v>
      </c>
      <c r="CK339" s="123"/>
      <c r="CL339" s="123">
        <f>(CK339/12*2*$E339*$G339*$H339*$N339)+(CK339/12*10*$F339*$G339*$H339*$N339)</f>
        <v>0</v>
      </c>
      <c r="CM339" s="123">
        <v>2</v>
      </c>
      <c r="CN339" s="123">
        <f>(CM339/12*2*$E339*$G339*$H339*$N339)+(CM339/12*10*$F339*$G339*$H339*$N339)</f>
        <v>66160.962</v>
      </c>
      <c r="CO339" s="123">
        <v>125</v>
      </c>
      <c r="CP339" s="123">
        <v>1702165.9000000008</v>
      </c>
      <c r="CQ339" s="123">
        <v>40</v>
      </c>
      <c r="CR339" s="123">
        <f>(CQ339/12*2*$E339*$G339*$H339*$O339)+(CQ339/12*10*$F339*$G339*$H339*$O339)</f>
        <v>1756416.0150000001</v>
      </c>
      <c r="CS339" s="123">
        <v>65</v>
      </c>
      <c r="CT339" s="127">
        <f>(CS339/12*2*$E339*$G339*$H339*$P339)+(CS339/12*10*$F339*$G339*$H339*$P339)</f>
        <v>3289341.8756249999</v>
      </c>
      <c r="CU339" s="123"/>
      <c r="CV339" s="123"/>
      <c r="CW339" s="126">
        <f>SUM(Q339,S339,U339,W339,Y339,AA339,AC339,AE339,AG339,AM339,BQ339,AI339,AU339,CC339,AW339,AY339,AK339,BC339,AO339,AQ339,BE339,CE339,BG339,BI339,BK339,BS339,BM339,BO339,BU339,BW339,BY339,CA339,CG339,BA339,AS339,CI339,CK339,CM339,CO339,CQ339,CS339,CU339)</f>
        <v>4079</v>
      </c>
      <c r="CX339" s="126">
        <f>SUM(R339,T339,V339,X339,Z339,AB339,AD339,AF339,AH339,AN339,BR339,AJ339,AV339,CD339,AX339,AZ339,AL339,BD339,AP339,AR339,BF339,CF339,BH339,BJ339,BL339,BT339,BN339,BP339,BV339,BX339,BZ339,CB339,CH339,BB339,AT339,CJ339,CL339,CN339,CP339,CR339,CT339,CV339)</f>
        <v>122050832.09612499</v>
      </c>
    </row>
    <row r="340" spans="1:102" s="228" customFormat="1" ht="31.5" customHeight="1" x14ac:dyDescent="0.25">
      <c r="A340" s="91"/>
      <c r="B340" s="116">
        <v>271</v>
      </c>
      <c r="C340" s="117" t="s">
        <v>798</v>
      </c>
      <c r="D340" s="184" t="s">
        <v>799</v>
      </c>
      <c r="E340" s="95">
        <v>28004</v>
      </c>
      <c r="F340" s="96">
        <v>29405</v>
      </c>
      <c r="G340" s="119">
        <v>0.89</v>
      </c>
      <c r="H340" s="110">
        <v>0.95</v>
      </c>
      <c r="I340" s="110">
        <v>0.9</v>
      </c>
      <c r="J340" s="107"/>
      <c r="K340" s="107"/>
      <c r="L340" s="63"/>
      <c r="M340" s="185">
        <v>1.4</v>
      </c>
      <c r="N340" s="185">
        <v>1.68</v>
      </c>
      <c r="O340" s="185">
        <v>2.23</v>
      </c>
      <c r="P340" s="185">
        <v>2.57</v>
      </c>
      <c r="Q340" s="122">
        <v>170</v>
      </c>
      <c r="R340" s="123">
        <f>(Q340/12*2*$E340*$G340*$H340*$M340*$R$11)+(Q340/12*10*$F340*$G340*$I340*$M340*$R$11)</f>
        <v>6171690.9587666662</v>
      </c>
      <c r="S340" s="124"/>
      <c r="T340" s="125">
        <f>(S340/12*2*$E340*$G340*$H340*$M340*$R$11)+(S340/12*10*$F340*$G340*$I340*$M340*$R$11)</f>
        <v>0</v>
      </c>
      <c r="U340" s="123">
        <v>1</v>
      </c>
      <c r="V340" s="123">
        <f>(U340/12*2*$E340*$G340*$H340*$M340*$V$11)+(U340/12*10*$F340*$G340*$I340*$M340*$V$12)</f>
        <v>44281.644878333325</v>
      </c>
      <c r="W340" s="123"/>
      <c r="X340" s="126">
        <f>(W340/12*2*$E340*$G340*$H340*$M340*$X$11)+(W340/12*10*$F340*$G340*$I340*$M340*$X$12)</f>
        <v>0</v>
      </c>
      <c r="Y340" s="123"/>
      <c r="Z340" s="123">
        <f>(Y340/12*2*$E340*$G340*$H340*$M340*$Z$11)+(Y340/12*10*$F340*$G340*$I340*$M340*$Z$12)</f>
        <v>0</v>
      </c>
      <c r="AA340" s="123"/>
      <c r="AB340" s="123">
        <f>(AA340/12*2*$E340*$G340*$H340*$M340*$AB$11)+(AA340/12*10*$F340*$G340*$I340*$M340*$AB$11)</f>
        <v>0</v>
      </c>
      <c r="AC340" s="123"/>
      <c r="AD340" s="123"/>
      <c r="AE340" s="123">
        <v>81</v>
      </c>
      <c r="AF340" s="127">
        <f>(AE340/12*2*$E340*$G340*$H340*$M340*$AF$11)+(AE340/12*10*$F340*$G340*$I340*$M340*$AF$11)</f>
        <v>2940629.2215300002</v>
      </c>
      <c r="AG340" s="123">
        <f>150-6</f>
        <v>144</v>
      </c>
      <c r="AH340" s="126">
        <f>(AG340/12*2*$E340*$G340*$H340*$M340*$AH$11)+(AG340/12*10*$F340*$G340*$I340*$M340*$AH$11)</f>
        <v>5227785.2827199996</v>
      </c>
      <c r="AI340" s="130">
        <v>80</v>
      </c>
      <c r="AJ340" s="123">
        <f t="shared" ref="AJ340:AJ341" si="497">(AI340/12*2*$E340*$G340*$H340*$M340*$AJ$11)+(AI340/12*5*$F340*$G340*$I340*$M340*$AJ$12)+(AI340/12*5*$F340*$G340*$I340*$M340*$AJ$13)</f>
        <v>3410401.0985333333</v>
      </c>
      <c r="AK340" s="123">
        <v>60</v>
      </c>
      <c r="AL340" s="123">
        <f t="shared" ref="AL340:AL341" si="498">(AK340/12*2*$E340*$G340*$H340*$N340*$AL$11)+(AK340/12*5*$F340*$G340*$I340*$N340*$AL$12)+(AK340/12*5*$F340*$G340*$I340*$N340*$AL$13)</f>
        <v>3069360.98868</v>
      </c>
      <c r="AM340" s="132"/>
      <c r="AN340" s="123">
        <f>(AM340/12*2*$E340*$G340*$H340*$N340*$AN$11)+(AM340/12*10*$F340*$G340*$I340*$N340*$AN$12)</f>
        <v>0</v>
      </c>
      <c r="AO340" s="130">
        <v>7</v>
      </c>
      <c r="AP340" s="127">
        <f>(AO340/12*2*$E340*$G340*$H340*$N340*$AP$11)+(AO340/12*10*$F340*$G340*$I340*$N340*$AP$11)</f>
        <v>304954.14149200008</v>
      </c>
      <c r="AQ340" s="127">
        <v>11</v>
      </c>
      <c r="AR340" s="127">
        <v>468599.25000000006</v>
      </c>
      <c r="AS340" s="123"/>
      <c r="AT340" s="123"/>
      <c r="AU340" s="123"/>
      <c r="AV340" s="126"/>
      <c r="AW340" s="123">
        <v>28</v>
      </c>
      <c r="AX340" s="123">
        <f>(AW340/12*2*$E340*$G340*$H340*$M340*$AX$11)+(AW340/12*10*$F340*$G340*$I340*$M340*$AX$12)</f>
        <v>1062759.4770800001</v>
      </c>
      <c r="AY340" s="123">
        <v>218</v>
      </c>
      <c r="AZ340" s="123">
        <f>(AY340/12*2*$E340*$G340*$H340*$N340*$AZ$11)+(AY340/12*10*$F340*$G340*$I340*$N340*$AZ$11)</f>
        <v>9497143.2636080012</v>
      </c>
      <c r="BA340" s="123"/>
      <c r="BB340" s="123">
        <f>(BA340/12*2*$E340*$G340*$H340*$N340*$BB$11)+(BA340/12*10*$F340*$G340*$I340*$N340*$BB$12)</f>
        <v>0</v>
      </c>
      <c r="BC340" s="123"/>
      <c r="BD340" s="126"/>
      <c r="BE340" s="123">
        <v>25</v>
      </c>
      <c r="BF340" s="123">
        <f>(BE340/12*10*$F340*$G340*$I340*$N340*$BF$12)</f>
        <v>824369.17500000005</v>
      </c>
      <c r="BG340" s="123">
        <v>54</v>
      </c>
      <c r="BH340" s="123">
        <f>(BG340/12*2*$E340*$G340*$H340*$N340*$BH$11)+(BG340/12*10*$F340*$G340*$I340*$N340*$BH$11)</f>
        <v>1924775.490456</v>
      </c>
      <c r="BI340" s="123">
        <v>35</v>
      </c>
      <c r="BJ340" s="126">
        <f>(BI340/12*2*$E340*$G340*$H340*$N340*$BJ$11)+(BI340/12*10*$F340*$G340*$I340*$N340*$BJ$11)</f>
        <v>1663386.2263199999</v>
      </c>
      <c r="BK340" s="123">
        <v>27</v>
      </c>
      <c r="BL340" s="127">
        <f>(BK340/12*2*$E340*$G340*$H340*$N340*$BL$11)+(BK340/12*10*$F340*$G340*$I340*$N340*$BL$11)</f>
        <v>1283183.6603039999</v>
      </c>
      <c r="BM340" s="123"/>
      <c r="BN340" s="123">
        <f>(BM340/12*2*$E340*$G340*$H340*$M340*$BN$11)+(BM340/12*10*$F340*$G340*$I340*$M340*$BN$11)</f>
        <v>0</v>
      </c>
      <c r="BO340" s="123"/>
      <c r="BP340" s="123">
        <f>(BO340/12*2*$E340*$G340*$H340*$M340*$BP$11)+(BO340/12*10*$F340*$G340*$I340*$M340*$BP$12)</f>
        <v>0</v>
      </c>
      <c r="BQ340" s="123"/>
      <c r="BR340" s="123">
        <f>(BQ340/12*2*$E340*$G340*$H340*$M340*$BR$11)+(BQ340/12*10*$F340*$G340*$I340*$M340*$BR$11)</f>
        <v>0</v>
      </c>
      <c r="BS340" s="123">
        <v>50</v>
      </c>
      <c r="BT340" s="123">
        <f>(BS340/12*2*$E340*$G340*$H340*$N340*$BT$11)+(BS340/12*10*$F340*$G340*$I340*$N340*$BT$11)</f>
        <v>1980221.6980000001</v>
      </c>
      <c r="BU340" s="123">
        <v>23</v>
      </c>
      <c r="BV340" s="126">
        <f>(BU340/12*2*$E340*$G340*$H340*$M340*$BV$11)+(BU340/12*10*$F340*$G340*$I340*$M340*$BV$11)</f>
        <v>607267.9873866667</v>
      </c>
      <c r="BW340" s="123"/>
      <c r="BX340" s="123">
        <f>(BW340/12*2*$E340*$G340*$H340*$M340*$BX$11)+(BW340/12*10*$F340*$G340*$I340*$M340*$BX$11)</f>
        <v>0</v>
      </c>
      <c r="BY340" s="123">
        <v>20</v>
      </c>
      <c r="BZ340" s="123">
        <f>(BY340/12*2*$E340*$G340*$H340*$M340*$BZ$11)+(BY340/12*10*$F340*$G340*$I340*$M340*$BZ$11)</f>
        <v>660073.89933333325</v>
      </c>
      <c r="CA340" s="123">
        <v>65</v>
      </c>
      <c r="CB340" s="123">
        <f>(CA340/12*2*$E340*$G340*$H340*$M340*$CB$11)+(CA340/12*10*$F340*$G340*$I340*$M340*$CB$11)</f>
        <v>2574288.2073999997</v>
      </c>
      <c r="CC340" s="123">
        <v>30</v>
      </c>
      <c r="CD340" s="123">
        <f>(CC340/12*2*$E340*$G340*$H340*$M340*$CD$11)+(CC340/12*10*$F340*$G340*$I340*$M340*$CD$11)</f>
        <v>990110.84899999993</v>
      </c>
      <c r="CE340" s="123"/>
      <c r="CF340" s="123">
        <f>(CE340/12*10*$F340*$G340*$I340*$N340*$CF$11)</f>
        <v>0</v>
      </c>
      <c r="CG340" s="132">
        <v>100</v>
      </c>
      <c r="CH340" s="123">
        <f>(CG340/12*2*$E340*$G340*$H340*$N340*$CH$11)+(CG340/12*10*$F340*$G340*$I340*$N340*$CH$11)</f>
        <v>3564399.0564000001</v>
      </c>
      <c r="CI340" s="123"/>
      <c r="CJ340" s="123"/>
      <c r="CK340" s="123"/>
      <c r="CL340" s="123">
        <f>(CK340/12*2*$E340*$G340*$H340*$N340*$CL$11)+(CK340/12*10*$F340*$G340*$I340*$N340*$CL$12)</f>
        <v>0</v>
      </c>
      <c r="CM340" s="123">
        <v>3</v>
      </c>
      <c r="CN340" s="123">
        <f>(CM340/12*2*$E340*$G340*$H340*$N340*$CN$11)+(CM340/12*10*$F340*$G340*$I340*$N340*$CN$11)</f>
        <v>118813.30188000001</v>
      </c>
      <c r="CO340" s="123">
        <v>40</v>
      </c>
      <c r="CP340" s="123">
        <v>674768.0399999998</v>
      </c>
      <c r="CQ340" s="123"/>
      <c r="CR340" s="123">
        <f>(CQ340/12*2*$E340*$G340*$H340*$O340*$CR$11)+(CQ340/12*10*$F340*$G340*$I340*$O340*$CR$11)</f>
        <v>0</v>
      </c>
      <c r="CS340" s="123">
        <v>5</v>
      </c>
      <c r="CT340" s="133">
        <f>(CS340/12*2*$E340*$G340*$H340*$P340*$CT$11)+(CS340/12*10*$F340*$G340*$I340*$P340*$CT$11)</f>
        <v>302926.77165833331</v>
      </c>
      <c r="CU340" s="123"/>
      <c r="CV340" s="123"/>
      <c r="CW340" s="126">
        <f t="shared" ref="CW340:CX343" si="499">SUM(Q340,S340,U340,W340,Y340,AA340,AC340,AE340,AG340,AM340,BQ340,AI340,AU340,CC340,AW340,AY340,AK340,BC340,AO340,AQ340,BE340,CE340,BG340,BI340,BK340,BS340,BM340,BO340,BU340,BW340,BY340,CA340,CG340,BA340,AS340,CI340,CK340,CM340,CO340,CQ340,CS340,CU340)</f>
        <v>1277</v>
      </c>
      <c r="CX340" s="126">
        <f t="shared" si="499"/>
        <v>49366189.69042667</v>
      </c>
    </row>
    <row r="341" spans="1:102" s="229" customFormat="1" ht="30" customHeight="1" x14ac:dyDescent="0.25">
      <c r="A341" s="91"/>
      <c r="B341" s="116">
        <v>272</v>
      </c>
      <c r="C341" s="117" t="s">
        <v>800</v>
      </c>
      <c r="D341" s="184" t="s">
        <v>801</v>
      </c>
      <c r="E341" s="95">
        <v>28004</v>
      </c>
      <c r="F341" s="96">
        <v>29405</v>
      </c>
      <c r="G341" s="119">
        <v>0.53</v>
      </c>
      <c r="H341" s="110">
        <v>0.95</v>
      </c>
      <c r="I341" s="110">
        <v>0.9</v>
      </c>
      <c r="J341" s="107"/>
      <c r="K341" s="107"/>
      <c r="L341" s="63"/>
      <c r="M341" s="185">
        <v>1.4</v>
      </c>
      <c r="N341" s="185">
        <v>1.68</v>
      </c>
      <c r="O341" s="185">
        <v>2.23</v>
      </c>
      <c r="P341" s="185">
        <v>2.57</v>
      </c>
      <c r="Q341" s="122">
        <v>10</v>
      </c>
      <c r="R341" s="123">
        <f>(Q341/12*2*$E341*$G341*$H341*$M341*$R$11)+(Q341/12*10*$F341*$G341*$I341*$M341*$R$11)</f>
        <v>216192.74343333335</v>
      </c>
      <c r="S341" s="124">
        <v>27</v>
      </c>
      <c r="T341" s="125">
        <f>(S341/12*2*$E341*$G341*$H341*$M341*$R$11)+(S341/12*10*$F341*$G341*$I341*$M341*$R$11)</f>
        <v>583720.40727000008</v>
      </c>
      <c r="U341" s="123">
        <v>90</v>
      </c>
      <c r="V341" s="123">
        <f>(U341/12*2*$E341*$G341*$H341*$M341*$V$11)+(U341/12*10*$F341*$G341*$I341*$M341*$V$12)</f>
        <v>2373297.1468500001</v>
      </c>
      <c r="W341" s="123"/>
      <c r="X341" s="126">
        <f>(W341/12*2*$E341*$G341*$H341*$M341*$X$11)+(W341/12*10*$F341*$G341*$I341*$M341*$X$12)</f>
        <v>0</v>
      </c>
      <c r="Y341" s="123"/>
      <c r="Z341" s="123">
        <f>(Y341/12*2*$E341*$G341*$H341*$M341*$Z$11)+(Y341/12*10*$F341*$G341*$I341*$M341*$Z$12)</f>
        <v>0</v>
      </c>
      <c r="AA341" s="123"/>
      <c r="AB341" s="123">
        <f>(AA341/12*2*$E341*$G341*$H341*$M341*$AB$11)+(AA341/12*10*$F341*$G341*$I341*$M341*$AB$11)</f>
        <v>0</v>
      </c>
      <c r="AC341" s="123"/>
      <c r="AD341" s="123"/>
      <c r="AE341" s="123">
        <v>7</v>
      </c>
      <c r="AF341" s="127">
        <f>(AE341/12*2*$E341*$G341*$H341*$M341*$AF$11)+(AE341/12*10*$F341*$G341*$I341*$M341*$AF$11)</f>
        <v>151334.92040333335</v>
      </c>
      <c r="AG341" s="123">
        <f>350-5</f>
        <v>345</v>
      </c>
      <c r="AH341" s="126">
        <f>(AG341/12*2*$E341*$G341*$H341*$M341*$AH$11)+(AG341/12*10*$F341*$G341*$I341*$M341*$AH$11)</f>
        <v>7458649.6484499993</v>
      </c>
      <c r="AI341" s="130">
        <v>2</v>
      </c>
      <c r="AJ341" s="123">
        <f t="shared" si="497"/>
        <v>50772.82534333333</v>
      </c>
      <c r="AK341" s="123">
        <v>50</v>
      </c>
      <c r="AL341" s="123">
        <f t="shared" si="498"/>
        <v>1523184.7603000002</v>
      </c>
      <c r="AM341" s="132"/>
      <c r="AN341" s="123">
        <f>(AM341/12*2*$E341*$G341*$H341*$N341*$AN$11)+(AM341/12*10*$F341*$G341*$I341*$N341*$AN$12)</f>
        <v>0</v>
      </c>
      <c r="AO341" s="130">
        <v>1</v>
      </c>
      <c r="AP341" s="127">
        <f>(AO341/12*2*$E341*$G341*$H341*$N341*$AP$11)+(AO341/12*10*$F341*$G341*$I341*$N341*$AP$11)</f>
        <v>25943.129212</v>
      </c>
      <c r="AQ341" s="127">
        <v>2</v>
      </c>
      <c r="AR341" s="127">
        <v>51840.78</v>
      </c>
      <c r="AS341" s="123"/>
      <c r="AT341" s="123"/>
      <c r="AU341" s="123"/>
      <c r="AV341" s="126"/>
      <c r="AW341" s="123"/>
      <c r="AX341" s="123">
        <f>(AW341/12*2*$E341*$G341*$H341*$M341*$AX$11)+(AW341/12*10*$F341*$G341*$I341*$M341*$AX$12)</f>
        <v>0</v>
      </c>
      <c r="AY341" s="123">
        <v>80</v>
      </c>
      <c r="AZ341" s="123">
        <f>(AY341/12*2*$E341*$G341*$H341*$N341*$AZ$11)+(AY341/12*10*$F341*$G341*$I341*$N341*$AZ$11)</f>
        <v>2075450.3369600005</v>
      </c>
      <c r="BA341" s="123">
        <v>64</v>
      </c>
      <c r="BB341" s="123">
        <f>(BA341/12*2*$E341*$G341*$H341*$N341*$BB$11)+(BA341/12*10*$F341*$G341*$I341*$N341*$BB$12)</f>
        <v>1459148.5798399998</v>
      </c>
      <c r="BC341" s="123"/>
      <c r="BD341" s="126"/>
      <c r="BE341" s="123">
        <v>11</v>
      </c>
      <c r="BF341" s="123">
        <f>(BE341/12*10*$F341*$G341*$I341*$N341*$BF$12)</f>
        <v>216003.24899999998</v>
      </c>
      <c r="BG341" s="123">
        <v>2</v>
      </c>
      <c r="BH341" s="123">
        <f>(BG341/12*2*$E341*$G341*$H341*$N341*$BH$11)+(BG341/12*10*$F341*$G341*$I341*$N341*$BH$11)</f>
        <v>42452.393255999996</v>
      </c>
      <c r="BI341" s="123">
        <v>55</v>
      </c>
      <c r="BJ341" s="126">
        <f>(BI341/12*2*$E341*$G341*$H341*$N341*$BJ$11)+(BI341/12*10*$F341*$G341*$I341*$N341*$BJ$11)</f>
        <v>1556587.7527199998</v>
      </c>
      <c r="BK341" s="123">
        <v>31</v>
      </c>
      <c r="BL341" s="127">
        <f>(BK341/12*2*$E341*$G341*$H341*$N341*$BL$11)+(BK341/12*10*$F341*$G341*$I341*$N341*$BL$11)</f>
        <v>877349.46062399994</v>
      </c>
      <c r="BM341" s="123"/>
      <c r="BN341" s="123">
        <f>(BM341/12*2*$E341*$G341*$H341*$M341*$BN$11)+(BM341/12*10*$F341*$G341*$I341*$M341*$BN$11)</f>
        <v>0</v>
      </c>
      <c r="BO341" s="123"/>
      <c r="BP341" s="123">
        <f>(BO341/12*2*$E341*$G341*$H341*$M341*$BP$11)+(BO341/12*10*$F341*$G341*$I341*$M341*$BP$12)</f>
        <v>0</v>
      </c>
      <c r="BQ341" s="123"/>
      <c r="BR341" s="123">
        <f>(BQ341/12*2*$E341*$G341*$H341*$M341*$BR$11)+(BQ341/12*10*$F341*$G341*$I341*$M341*$BR$11)</f>
        <v>0</v>
      </c>
      <c r="BS341" s="123">
        <v>54</v>
      </c>
      <c r="BT341" s="123">
        <f>(BS341/12*2*$E341*$G341*$H341*$N341*$BT$11)+(BS341/12*10*$F341*$G341*$I341*$N341*$BT$11)</f>
        <v>1273571.7976800001</v>
      </c>
      <c r="BU341" s="123"/>
      <c r="BV341" s="126">
        <f>(BU341/12*2*$E341*$G341*$H341*$M341*$BV$11)+(BU341/12*10*$F341*$G341*$I341*$M341*$BV$11)</f>
        <v>0</v>
      </c>
      <c r="BW341" s="123">
        <v>20</v>
      </c>
      <c r="BX341" s="123">
        <f>(BW341/12*2*$E341*$G341*$H341*$M341*$BX$11)+(BW341/12*10*$F341*$G341*$I341*$M341*$BX$11)</f>
        <v>314462.17226666666</v>
      </c>
      <c r="BY341" s="123"/>
      <c r="BZ341" s="123">
        <f>(BY341/12*2*$E341*$G341*$H341*$M341*$BZ$11)+(BY341/12*10*$F341*$G341*$I341*$M341*$BZ$11)</f>
        <v>0</v>
      </c>
      <c r="CA341" s="123">
        <v>12</v>
      </c>
      <c r="CB341" s="123">
        <f>(CA341/12*2*$E341*$G341*$H341*$M341*$CB$11)+(CA341/12*10*$F341*$G341*$I341*$M341*$CB$11)</f>
        <v>283015.95503999997</v>
      </c>
      <c r="CC341" s="123">
        <v>6</v>
      </c>
      <c r="CD341" s="123">
        <f>(CC341/12*2*$E341*$G341*$H341*$M341*$CD$11)+(CC341/12*10*$F341*$G341*$I341*$M341*$CD$11)</f>
        <v>117923.3146</v>
      </c>
      <c r="CE341" s="123"/>
      <c r="CF341" s="123">
        <f>(CE341/12*10*$F341*$G341*$I341*$N341*$CF$11)</f>
        <v>0</v>
      </c>
      <c r="CG341" s="132">
        <v>15</v>
      </c>
      <c r="CH341" s="123">
        <f>(CG341/12*2*$E341*$G341*$H341*$N341*$CH$11)+(CG341/12*10*$F341*$G341*$I341*$N341*$CH$11)</f>
        <v>318392.94942000002</v>
      </c>
      <c r="CI341" s="123"/>
      <c r="CJ341" s="123"/>
      <c r="CK341" s="123"/>
      <c r="CL341" s="123">
        <f>(CK341/12*2*$E341*$G341*$H341*$N341*$CL$11)+(CK341/12*10*$F341*$G341*$I341*$N341*$CL$12)</f>
        <v>0</v>
      </c>
      <c r="CM341" s="123"/>
      <c r="CN341" s="123">
        <f>(CM341/12*2*$E341*$G341*$H341*$N341*$CN$11)+(CM341/12*10*$F341*$G341*$I341*$N341*$CN$11)</f>
        <v>0</v>
      </c>
      <c r="CO341" s="123"/>
      <c r="CP341" s="123">
        <f>(CO341/12*2*$E341*$G341*$H341*$N341*$CP$11)+(CO341/12*10*$F341*$G341*$I341*$N341*$CP$11)</f>
        <v>0</v>
      </c>
      <c r="CQ341" s="123">
        <v>5</v>
      </c>
      <c r="CR341" s="123">
        <f>(CQ341/12*2*$E341*$G341*$H341*$O341*$CR$11)+(CQ341/12*10*$F341*$G341*$I341*$O341*$CR$11)</f>
        <v>156529.16164166667</v>
      </c>
      <c r="CS341" s="123"/>
      <c r="CT341" s="133">
        <f>(CS341/12*2*$E341*$G341*$H341*$P341*$CT$11)+(CS341/12*10*$F341*$G341*$I341*$P341*$CT$11)</f>
        <v>0</v>
      </c>
      <c r="CU341" s="123"/>
      <c r="CV341" s="123"/>
      <c r="CW341" s="126">
        <f t="shared" si="499"/>
        <v>889</v>
      </c>
      <c r="CX341" s="126">
        <f t="shared" si="499"/>
        <v>21125823.484310336</v>
      </c>
    </row>
    <row r="342" spans="1:102" s="229" customFormat="1" ht="36.75" customHeight="1" x14ac:dyDescent="0.3">
      <c r="A342" s="230"/>
      <c r="B342" s="116">
        <v>273</v>
      </c>
      <c r="C342" s="117" t="s">
        <v>802</v>
      </c>
      <c r="D342" s="184" t="s">
        <v>803</v>
      </c>
      <c r="E342" s="95">
        <v>28004</v>
      </c>
      <c r="F342" s="96">
        <v>29405</v>
      </c>
      <c r="G342" s="119">
        <v>4.07</v>
      </c>
      <c r="H342" s="107">
        <v>1</v>
      </c>
      <c r="I342" s="107"/>
      <c r="J342" s="107"/>
      <c r="K342" s="107"/>
      <c r="L342" s="63"/>
      <c r="M342" s="185">
        <v>1.4</v>
      </c>
      <c r="N342" s="185">
        <v>1.68</v>
      </c>
      <c r="O342" s="185">
        <v>2.23</v>
      </c>
      <c r="P342" s="185">
        <v>2.57</v>
      </c>
      <c r="Q342" s="122">
        <v>1</v>
      </c>
      <c r="R342" s="123">
        <f>(Q342/12*2*$E342*$G342*$H342*$M342*$R$11)+(Q342/12*10*$F342*$G342*$H342*$M342*$R$11)</f>
        <v>182841.12769999998</v>
      </c>
      <c r="S342" s="124"/>
      <c r="T342" s="125">
        <f>(S342/12*2*$E342*$G342*$H342*$M342*$R$11)+(S342/12*10*$F342*$G342*$H342*$M342*$R$11)</f>
        <v>0</v>
      </c>
      <c r="U342" s="123">
        <v>3</v>
      </c>
      <c r="V342" s="123">
        <f>(U342/12*2*$E342*$G342*$H342*$M342*$V$11)+(U342/12*10*$F342*$G342*$H342*$M342*$V$12)</f>
        <v>668799.47364999994</v>
      </c>
      <c r="W342" s="123"/>
      <c r="X342" s="126">
        <f>(W342/12*2*$E342*$G342*$H342*$M342*$X$11)+(W342/12*10*$F342*$G342*$H342*$M342*$X$12)</f>
        <v>0</v>
      </c>
      <c r="Y342" s="123"/>
      <c r="Z342" s="123">
        <f>(Y342/12*2*$E342*$G342*$H342*$M342*$Z$11)+(Y342/12*10*$F342*$G342*$H342*$M342*$Z$12)</f>
        <v>0</v>
      </c>
      <c r="AA342" s="123"/>
      <c r="AB342" s="123">
        <f>(AA342/12*2*$E342*$G342*$H342*$M342*$AB$11)+(AA342/12*10*$F342*$G342*$H342*$M342*$AB$11)</f>
        <v>0</v>
      </c>
      <c r="AC342" s="123"/>
      <c r="AD342" s="123"/>
      <c r="AE342" s="123"/>
      <c r="AF342" s="127">
        <f>(AE342/12*2*$E342*$G342*$H342*$M342*$AF$11)+(AE342/12*10*$F342*$G342*$H342*$M342*$AF$11)</f>
        <v>0</v>
      </c>
      <c r="AG342" s="123">
        <f>10-1</f>
        <v>9</v>
      </c>
      <c r="AH342" s="126">
        <f>(AG342/12*2*$E342*$G342*$H342*$M342*$AH$11)+(AG342/12*10*$F342*$G342*$H342*$M342*$AH$11)</f>
        <v>1645570.1493000002</v>
      </c>
      <c r="AI342" s="130"/>
      <c r="AJ342" s="123">
        <f t="shared" ref="AJ342:AJ343" si="500">(AI342/12*2*$E342*$G342*$H342*$M342*$AJ$11)+(AI342/12*5*$F342*$G342*$H342*$M342*$AJ$12)+(AI342/12*5*$F342*$G342*$H342*$M342*$AJ$13)</f>
        <v>0</v>
      </c>
      <c r="AK342" s="123"/>
      <c r="AL342" s="123">
        <f t="shared" ref="AL342:AL343" si="501">(AK342/12*2*$E342*$G342*$H342*$N342*$AL$11)+(AK342/12*5*$F342*$G342*$H342*$N342*$AL$12)++(AK342/12*5*$F342*$G342*$H342*$N342*$AL$13)</f>
        <v>0</v>
      </c>
      <c r="AM342" s="132"/>
      <c r="AN342" s="123">
        <f>(AM342/12*2*$E342*$G342*$H342*$N342*$AN$11)+(AM342/12*10*$F342*$G342*$H342*$N342*$AN$12)</f>
        <v>0</v>
      </c>
      <c r="AO342" s="130"/>
      <c r="AP342" s="127">
        <f>(AO342/12*2*$E342*$G342*$H342*$N342*$AP$11)+(AO342/12*10*$F342*$G342*$H342*$N342*$AP$11)</f>
        <v>0</v>
      </c>
      <c r="AQ342" s="127">
        <v>0</v>
      </c>
      <c r="AR342" s="127">
        <v>0</v>
      </c>
      <c r="AS342" s="123"/>
      <c r="AT342" s="123">
        <f>(AS342/12*2*$E342*$G342*$H342*$M342*$AT$11)+(AS342/12*10*$F342*$G342*$H342*$M342*$AT$11)</f>
        <v>0</v>
      </c>
      <c r="AU342" s="123"/>
      <c r="AV342" s="126">
        <f>(AU342/12*2*$E342*$G342*$H342*$M342*$AV$11)+(AU342/12*10*$F342*$G342*$H342*$M342*$AV$12)</f>
        <v>0</v>
      </c>
      <c r="AW342" s="123"/>
      <c r="AX342" s="123">
        <f>(AW342/12*2*$E342*$G342*$H342*$M342*$AX$11)+(AW342/12*10*$F342*$G342*$H342*$M342*$AX$12)</f>
        <v>0</v>
      </c>
      <c r="AY342" s="123">
        <v>1</v>
      </c>
      <c r="AZ342" s="123">
        <f>(AY342/12*2*$E342*$G342*$H342*$N342*$AZ$11)+(AY342/12*10*$F342*$G342*$H342*$N342*$AZ$11)</f>
        <v>219409.35323999997</v>
      </c>
      <c r="BA342" s="123"/>
      <c r="BB342" s="123">
        <f>(BA342/12*2*$E342*$G342*$H342*$N342*$BB$11)+(BA342/12*10*$F342*$G342*$H342*$N342*$BB$12)</f>
        <v>0</v>
      </c>
      <c r="BC342" s="123"/>
      <c r="BD342" s="126">
        <f>(BC342/12*2*$E342*$G342*$H342*$N342*$BD$11)+(BC342/12*10*$F342*$G342*$H342*$N342*$BD$12)</f>
        <v>0</v>
      </c>
      <c r="BE342" s="123"/>
      <c r="BF342" s="123">
        <f>(BE342/12*10*$F342*$G342*$H342*$N342*$BF$12)</f>
        <v>0</v>
      </c>
      <c r="BG342" s="123"/>
      <c r="BH342" s="123">
        <f>(BG342/12*2*$E342*$G342*$H342*$N342*$BH$11)+(BG342/12*10*$F342*$G342*$H342*$N342*$BH$11)</f>
        <v>0</v>
      </c>
      <c r="BI342" s="123"/>
      <c r="BJ342" s="126">
        <f>(BI342/12*2*$E342*$G342*$H342*$N342*$BJ$11)+(BI342/12*10*$F342*$G342*$H342*$N342*$BJ$11)</f>
        <v>0</v>
      </c>
      <c r="BK342" s="123"/>
      <c r="BL342" s="127">
        <f>(BK342/12*2*$E342*$G342*$H342*$N342*$BL$11)+(BK342/12*10*$F342*$G342*$H342*$N342*$BL$11)</f>
        <v>0</v>
      </c>
      <c r="BM342" s="123"/>
      <c r="BN342" s="123">
        <f>(BM342/12*2*$E342*$G342*$H342*$M342*$BN$11)+(BM342/12*10*$F342*$G342*$H342*$M342*$BN$11)</f>
        <v>0</v>
      </c>
      <c r="BO342" s="123"/>
      <c r="BP342" s="123">
        <f>(BO342/12*2*$E342*$G342*$H342*$M342*$BP$11)+(BO342/12*10*$F342*$G342*$H342*$M342*$BP$12)</f>
        <v>0</v>
      </c>
      <c r="BQ342" s="123"/>
      <c r="BR342" s="123">
        <f>(BQ342/12*2*$E342*$G342*$H342*$M342*$BR$11)+(BQ342/12*10*$F342*$G342*$H342*$M342*$BR$11)</f>
        <v>0</v>
      </c>
      <c r="BS342" s="154"/>
      <c r="BT342" s="123">
        <f>(BS342/12*2*$E342*$G342*$H342*$N342*$BT$11)+(BS342/12*10*$F342*$G342*$H342*$N342*$BT$11)</f>
        <v>0</v>
      </c>
      <c r="BU342" s="123"/>
      <c r="BV342" s="126">
        <f>(BU342/12*2*$E342*$G342*$H342*$M342*$BV$11)+(BU342/12*10*$F342*$G342*$H342*$M342*$BV$11)</f>
        <v>0</v>
      </c>
      <c r="BW342" s="123"/>
      <c r="BX342" s="123">
        <f>(BW342/12*2*$E342*$G342*$H342*$M342*$BX$11)+(BW342/12*10*$F342*$G342*$H342*$M342*$BX$11)</f>
        <v>0</v>
      </c>
      <c r="BY342" s="123"/>
      <c r="BZ342" s="123">
        <f>(BY342/12*2*$E342*$G342*$H342*$M342*$BZ$11)+(BY342/12*10*$F342*$G342*$H342*$M342*$BZ$11)</f>
        <v>0</v>
      </c>
      <c r="CA342" s="123"/>
      <c r="CB342" s="123">
        <f>(CA342/12*2*$E342*$G342*$H342*$M342*$CB$11)+(CA342/12*10*$F342*$G342*$H342*$M342*$CB$11)</f>
        <v>0</v>
      </c>
      <c r="CC342" s="123"/>
      <c r="CD342" s="123">
        <f>(CC342/12*2*$E342*$G342*$H342*$M342*$CD$11)+(CC342/12*10*$F342*$G342*$H342*$M342*$CD$11)</f>
        <v>0</v>
      </c>
      <c r="CE342" s="123"/>
      <c r="CF342" s="123">
        <f>(CE342/12*10*$F342*$G342*$H342*$N342*$CF$11)</f>
        <v>0</v>
      </c>
      <c r="CG342" s="132"/>
      <c r="CH342" s="123">
        <f>(CG342/12*2*$E342*$G342*$H342*$N342*$CH$11)+(CG342/12*10*$F342*$G342*$H342*$N342*$CH$11)</f>
        <v>0</v>
      </c>
      <c r="CI342" s="123"/>
      <c r="CJ342" s="123">
        <f>(CI342*$E342*$G342*$H342*$N342*CJ$11)</f>
        <v>0</v>
      </c>
      <c r="CK342" s="123"/>
      <c r="CL342" s="123">
        <f>(CK342/12*2*$E342*$G342*$H342*$N342*$CL$11)+(CK342/12*10*$F342*$G342*$H342*$N342*$CL$12)</f>
        <v>0</v>
      </c>
      <c r="CM342" s="123"/>
      <c r="CN342" s="123">
        <f>(CM342/12*2*$E342*$G342*$H342*$N342*$CN$11)+(CM342/12*10*$F342*$G342*$H342*$N342*$CN$11)</f>
        <v>0</v>
      </c>
      <c r="CO342" s="123"/>
      <c r="CP342" s="123">
        <f>(CO342/12*2*$E342*$G342*$H342*$N342*$CP$11)+(CO342/12*10*$F342*$G342*$H342*$N342*$CP$11)</f>
        <v>0</v>
      </c>
      <c r="CQ342" s="123"/>
      <c r="CR342" s="123">
        <f>(CQ342/12*2*$E342*$G342*$H342*$O342*$CR$11)+(CQ342/12*10*$F342*$G342*$H342*$O342*$CR$11)</f>
        <v>0</v>
      </c>
      <c r="CS342" s="123"/>
      <c r="CT342" s="133">
        <f>(CS342/12*2*$E342*$G342*$H342*$P342*$CT$11)+(CS342/12*10*$F342*$G342*$H342*$P342*$CT$11)</f>
        <v>0</v>
      </c>
      <c r="CU342" s="123"/>
      <c r="CV342" s="123">
        <f>(CU342*$E342*$G342*$H342*$M342*CV$11)/12*6+(CU342*$E342*$G342*$H342*1*CV$11)/12*6</f>
        <v>0</v>
      </c>
      <c r="CW342" s="126">
        <f t="shared" si="499"/>
        <v>14</v>
      </c>
      <c r="CX342" s="126">
        <f t="shared" si="499"/>
        <v>2716620.1038899999</v>
      </c>
    </row>
    <row r="343" spans="1:102" s="229" customFormat="1" ht="45" customHeight="1" x14ac:dyDescent="0.25">
      <c r="A343" s="91"/>
      <c r="B343" s="116">
        <v>274</v>
      </c>
      <c r="C343" s="117" t="s">
        <v>804</v>
      </c>
      <c r="D343" s="184" t="s">
        <v>805</v>
      </c>
      <c r="E343" s="95">
        <v>28004</v>
      </c>
      <c r="F343" s="96">
        <v>29405</v>
      </c>
      <c r="G343" s="185">
        <v>1</v>
      </c>
      <c r="H343" s="110">
        <v>0.85</v>
      </c>
      <c r="I343" s="107"/>
      <c r="J343" s="107"/>
      <c r="K343" s="107"/>
      <c r="L343" s="63"/>
      <c r="M343" s="185">
        <v>1.4</v>
      </c>
      <c r="N343" s="185">
        <v>1.68</v>
      </c>
      <c r="O343" s="185">
        <v>2.23</v>
      </c>
      <c r="P343" s="185">
        <v>2.57</v>
      </c>
      <c r="Q343" s="122">
        <v>30</v>
      </c>
      <c r="R343" s="123">
        <f>(Q343/12*2*$E343*$G343*$H343*$M343*$R$11)+(Q343/12*10*$F343*$G343*$H343*$M343*$R$11)</f>
        <v>1145564.8050000002</v>
      </c>
      <c r="S343" s="124"/>
      <c r="T343" s="125">
        <f>(S343/12*2*$E343*$G343*$H343*$M343*$R$11)+(S343/12*10*$F343*$G343*$H343*$M343*$R$11)</f>
        <v>0</v>
      </c>
      <c r="U343" s="123">
        <v>5</v>
      </c>
      <c r="V343" s="123">
        <f>(U343*$F343*$G343*$H343*$M343*$V$12)</f>
        <v>232696.4675</v>
      </c>
      <c r="W343" s="123"/>
      <c r="X343" s="126">
        <f>(W343/12*2*$E343*$G343*$H343*$M343*$X$11)+(W343/12*10*$F343*$G343*$H343*$M343*$X$12)</f>
        <v>0</v>
      </c>
      <c r="Y343" s="141">
        <f>98-31</f>
        <v>67</v>
      </c>
      <c r="Z343" s="123">
        <f>(Y343/12*2*$E343*$G343*$H343*$M343*$Z$11)+(Y343/12*10*$F343*$G343*$H343*$M343*$Z$12)</f>
        <v>3119420.9684166661</v>
      </c>
      <c r="AA343" s="123"/>
      <c r="AB343" s="123">
        <f>(AA343/12*2*$E343*$G343*$H343*$M343*$AB$11)+(AA343/12*10*$F343*$G343*$H343*$M343*$AB$11)</f>
        <v>0</v>
      </c>
      <c r="AC343" s="123"/>
      <c r="AD343" s="123"/>
      <c r="AE343" s="123">
        <v>15</v>
      </c>
      <c r="AF343" s="123">
        <f>(AE343/12*2*$E343*$G343*$H343*$M343*$AF$11)+(AE343/12*10*$F343*$G343*$H343*$M343*$AF$11)</f>
        <v>572782.40250000008</v>
      </c>
      <c r="AG343" s="135">
        <v>0</v>
      </c>
      <c r="AH343" s="136">
        <f>(AG343/12*2*$E343*$G343*$H343*$M343*$AH$11)+(AG343/12*10*$F343*$G343*$H343*$M343*$AH$11)</f>
        <v>0</v>
      </c>
      <c r="AI343" s="123">
        <v>0</v>
      </c>
      <c r="AJ343" s="123">
        <f t="shared" si="500"/>
        <v>0</v>
      </c>
      <c r="AK343" s="123"/>
      <c r="AL343" s="123">
        <f t="shared" si="501"/>
        <v>0</v>
      </c>
      <c r="AM343" s="132"/>
      <c r="AN343" s="123">
        <f>(AM343/12*2*$E343*$G343*$H343*$N343*$AN$11)+(AM343/12*10*$F343*$G343*$H343*$N343*$AN$12)</f>
        <v>0</v>
      </c>
      <c r="AO343" s="130"/>
      <c r="AP343" s="127">
        <f>(AO343/12*2*$E343*$G343*$H343*$N343*$AP$11)+(AO343/12*10*$F343*$G343*$H343*$N343*$AP$11)</f>
        <v>0</v>
      </c>
      <c r="AQ343" s="127">
        <v>0</v>
      </c>
      <c r="AR343" s="127">
        <v>0</v>
      </c>
      <c r="AS343" s="123"/>
      <c r="AT343" s="123">
        <f>(AS343/12*2*$E343*$G343*$H343*$M343*$AT$11)+(AS343/12*10*$F343*$G343*$H343*$M343*$AT$11)</f>
        <v>0</v>
      </c>
      <c r="AU343" s="123"/>
      <c r="AV343" s="126">
        <f>(AU343/12*2*$E343*$G343*$H343*$M343*$AV$11)+(AU343/12*10*$F343*$G343*$H343*$M343*$AV$12)</f>
        <v>0</v>
      </c>
      <c r="AW343" s="123"/>
      <c r="AX343" s="123">
        <f>(AW343/12*2*$E343*$G343*$H343*$M343*$AX$11)+(AW343/12*10*$F343*$G343*$H343*$M343*$AX$12)</f>
        <v>0</v>
      </c>
      <c r="AY343" s="123">
        <v>6</v>
      </c>
      <c r="AZ343" s="123">
        <f>(AY343/12*2*$E343*$G343*$H343*$N343*$AZ$11)+(AY343/12*10*$F343*$G343*$H343*$N343*$AZ$11)</f>
        <v>274935.55319999997</v>
      </c>
      <c r="BA343" s="123"/>
      <c r="BB343" s="123">
        <f>(BA343/12*2*$E343*$G343*$H343*$N343*$BB$11)+(BA343/12*10*$F343*$G343*$H343*$N343*$BB$12)</f>
        <v>0</v>
      </c>
      <c r="BC343" s="123"/>
      <c r="BD343" s="126">
        <f>(BC343/12*2*$E343*$G343*$H343*$N343*$BD$11)+(BC343/12*10*$F343*$G343*$H343*$N343*$BD$12)</f>
        <v>0</v>
      </c>
      <c r="BE343" s="123"/>
      <c r="BF343" s="123">
        <f>(BE343/12*10*$F343*$G343*$H343*$N343*$BF$12)</f>
        <v>0</v>
      </c>
      <c r="BG343" s="123">
        <v>18</v>
      </c>
      <c r="BH343" s="123">
        <f>(BG343/12*2*$E343*$G343*$H343*$N343*$BH$11)+(BG343/12*10*$F343*$G343*$H343*$N343*$BH$11)</f>
        <v>674841.81239999994</v>
      </c>
      <c r="BI343" s="123"/>
      <c r="BJ343" s="126">
        <f>(BI343/12*2*$E343*$G343*$H343*$N343*$BJ$11)+(BI343/12*10*$F343*$G343*$H343*$N343*$BJ$11)</f>
        <v>0</v>
      </c>
      <c r="BK343" s="123"/>
      <c r="BL343" s="127">
        <f>(BK343/12*2*$E343*$G343*$H343*$N343*$BL$11)+(BK343/12*10*$F343*$G343*$H343*$N343*$BL$11)</f>
        <v>0</v>
      </c>
      <c r="BM343" s="123"/>
      <c r="BN343" s="123">
        <f>(BM343/12*2*$E343*$G343*$H343*$M343*$BN$11)+(BM343/12*10*$F343*$G343*$H343*$M343*$BN$11)</f>
        <v>0</v>
      </c>
      <c r="BO343" s="123"/>
      <c r="BP343" s="123">
        <f>(BO343/12*2*$E343*$G343*$H343*$M343*$BP$11)+(BO343/12*10*$F343*$G343*$H343*$M343*$BP$12)</f>
        <v>0</v>
      </c>
      <c r="BQ343" s="123"/>
      <c r="BR343" s="123">
        <f>(BQ343/12*2*$E343*$G343*$H343*$M343*$BR$11)+(BQ343/12*10*$F343*$G343*$H343*$M343*$BR$11)</f>
        <v>0</v>
      </c>
      <c r="BS343" s="123">
        <v>12</v>
      </c>
      <c r="BT343" s="123">
        <f>(BS343/12*2*$E343*$G343*$H343*$N343*$BT$11)+(BS343/12*10*$F343*$G343*$H343*$N343*$BT$11)</f>
        <v>499882.82399999996</v>
      </c>
      <c r="BU343" s="123"/>
      <c r="BV343" s="126">
        <f>(BU343/12*2*$E343*$G343*$H343*$M343*$BV$11)+(BU343/12*10*$F343*$G343*$H343*$M343*$BV$11)</f>
        <v>0</v>
      </c>
      <c r="BW343" s="123"/>
      <c r="BX343" s="123">
        <f>(BW343/12*2*$E343*$G343*$H343*$M343*$BX$11)+(BW343/12*10*$F343*$G343*$H343*$M343*$BX$11)</f>
        <v>0</v>
      </c>
      <c r="BY343" s="123"/>
      <c r="BZ343" s="123">
        <f>(BY343/12*2*$E343*$G343*$H343*$M343*$BZ$11)+(BY343/12*10*$F343*$G343*$H343*$M343*$BZ$11)</f>
        <v>0</v>
      </c>
      <c r="CA343" s="123"/>
      <c r="CB343" s="123">
        <f>(CA343/12*2*$E343*$G343*$H343*$M343*$CB$11)+(CA343/12*10*$F343*$G343*$H343*$M343*$CB$11)</f>
        <v>0</v>
      </c>
      <c r="CC343" s="123"/>
      <c r="CD343" s="123">
        <f>(CC343/12*2*$E343*$G343*$H343*$M343*$CD$11)+(CC343/12*10*$F343*$G343*$H343*$M343*$CD$11)</f>
        <v>0</v>
      </c>
      <c r="CE343" s="123"/>
      <c r="CF343" s="123">
        <f>(CE343/12*10*$F343*$G343*$H343*$N343*$CF$11)</f>
        <v>0</v>
      </c>
      <c r="CG343" s="132"/>
      <c r="CH343" s="123">
        <f>(CG343/12*2*$E343*$G343*$H343*$N343*$CH$11)+(CG343/12*10*$F343*$G343*$H343*$N343*$CH$11)</f>
        <v>0</v>
      </c>
      <c r="CI343" s="123"/>
      <c r="CJ343" s="123">
        <f>(CI343*$E343*$G343*$H343*$N343*CJ$11)</f>
        <v>0</v>
      </c>
      <c r="CK343" s="123"/>
      <c r="CL343" s="123">
        <f>(CK343/12*2*$E343*$G343*$H343*$N343*$CL$11)+(CK343/12*10*$F343*$G343*$H343*$N343*$CL$12)</f>
        <v>0</v>
      </c>
      <c r="CM343" s="123"/>
      <c r="CN343" s="123">
        <f>(CM343/12*2*$E343*$G343*$H343*$N343*$CN$11)+(CM343/12*10*$F343*$G343*$H343*$N343*$CN$11)</f>
        <v>0</v>
      </c>
      <c r="CO343" s="123"/>
      <c r="CP343" s="123">
        <f>(CO343/12*2*$E343*$G343*$H343*$N343*$CP$11)+(CO343/12*10*$F343*$G343*$H343*$N343*$CP$11)</f>
        <v>0</v>
      </c>
      <c r="CQ343" s="123"/>
      <c r="CR343" s="123">
        <f>(CQ343/12*2*$E343*$G343*$H343*$O343*$CR$11)+(CQ343/12*10*$F343*$G343*$H343*$O343*$CR$11)</f>
        <v>0</v>
      </c>
      <c r="CS343" s="123"/>
      <c r="CT343" s="133">
        <f>(CS343/12*2*$E343*$G343*$H343*$P343*$CT$11)+(CS343/12*10*$F343*$G343*$H343*$P343*$CT$11)</f>
        <v>0</v>
      </c>
      <c r="CU343" s="123"/>
      <c r="CV343" s="123">
        <f>(CU343*$E343*$G343*$H343*$M343*CV$11)/12*6+(CU343*$E343*$G343*$H343*1*CV$11)/12*6</f>
        <v>0</v>
      </c>
      <c r="CW343" s="126">
        <f t="shared" si="499"/>
        <v>153</v>
      </c>
      <c r="CX343" s="126">
        <f t="shared" si="499"/>
        <v>6520124.8330166666</v>
      </c>
    </row>
    <row r="344" spans="1:102" ht="15.75" customHeight="1" x14ac:dyDescent="0.25">
      <c r="A344" s="109">
        <v>28</v>
      </c>
      <c r="B344" s="231"/>
      <c r="C344" s="93" t="s">
        <v>806</v>
      </c>
      <c r="D344" s="232" t="s">
        <v>807</v>
      </c>
      <c r="E344" s="95">
        <v>28004</v>
      </c>
      <c r="F344" s="96">
        <v>29405</v>
      </c>
      <c r="G344" s="233">
        <v>2.09</v>
      </c>
      <c r="H344" s="166"/>
      <c r="I344" s="107"/>
      <c r="J344" s="107"/>
      <c r="K344" s="107"/>
      <c r="L344" s="111"/>
      <c r="M344" s="234">
        <v>1.4</v>
      </c>
      <c r="N344" s="234">
        <v>1.68</v>
      </c>
      <c r="O344" s="234">
        <v>2.23</v>
      </c>
      <c r="P344" s="234">
        <v>2.57</v>
      </c>
      <c r="Q344" s="103">
        <f>SUM(Q345:Q349)</f>
        <v>335</v>
      </c>
      <c r="R344" s="104">
        <f>SUM(R345:R349)</f>
        <v>30244157.528433338</v>
      </c>
      <c r="S344" s="114">
        <f t="shared" ref="S344:CD344" si="502">SUM(S345:S349)</f>
        <v>11</v>
      </c>
      <c r="T344" s="115">
        <f t="shared" si="502"/>
        <v>770126.66576999996</v>
      </c>
      <c r="U344" s="104">
        <f t="shared" si="502"/>
        <v>28</v>
      </c>
      <c r="V344" s="104">
        <f t="shared" si="502"/>
        <v>2803215.2853016667</v>
      </c>
      <c r="W344" s="104">
        <f t="shared" si="502"/>
        <v>0</v>
      </c>
      <c r="X344" s="104">
        <f t="shared" si="502"/>
        <v>0</v>
      </c>
      <c r="Y344" s="104">
        <f t="shared" si="502"/>
        <v>59</v>
      </c>
      <c r="Z344" s="104">
        <f t="shared" si="502"/>
        <v>7729379.6423899997</v>
      </c>
      <c r="AA344" s="104">
        <f t="shared" si="502"/>
        <v>0</v>
      </c>
      <c r="AB344" s="104">
        <f t="shared" si="502"/>
        <v>0</v>
      </c>
      <c r="AC344" s="104">
        <f t="shared" si="502"/>
        <v>0</v>
      </c>
      <c r="AD344" s="104">
        <f t="shared" si="502"/>
        <v>0</v>
      </c>
      <c r="AE344" s="104">
        <f t="shared" si="502"/>
        <v>2</v>
      </c>
      <c r="AF344" s="105">
        <f t="shared" si="502"/>
        <v>158034.00048333331</v>
      </c>
      <c r="AG344" s="104">
        <f t="shared" si="502"/>
        <v>8</v>
      </c>
      <c r="AH344" s="104">
        <f t="shared" si="502"/>
        <v>617103.4994483334</v>
      </c>
      <c r="AI344" s="106">
        <f t="shared" si="502"/>
        <v>21</v>
      </c>
      <c r="AJ344" s="104">
        <f t="shared" si="502"/>
        <v>1948504.9166624998</v>
      </c>
      <c r="AK344" s="104">
        <f t="shared" si="502"/>
        <v>95</v>
      </c>
      <c r="AL344" s="104">
        <f t="shared" si="502"/>
        <v>9866893.6791529991</v>
      </c>
      <c r="AM344" s="104">
        <f t="shared" si="502"/>
        <v>5</v>
      </c>
      <c r="AN344" s="104">
        <f t="shared" si="502"/>
        <v>488293.30691400007</v>
      </c>
      <c r="AO344" s="106">
        <f t="shared" si="502"/>
        <v>0</v>
      </c>
      <c r="AP344" s="104">
        <f t="shared" si="502"/>
        <v>0</v>
      </c>
      <c r="AQ344" s="104">
        <v>0</v>
      </c>
      <c r="AR344" s="104">
        <v>0</v>
      </c>
      <c r="AS344" s="104">
        <f t="shared" si="502"/>
        <v>0</v>
      </c>
      <c r="AT344" s="104">
        <f t="shared" si="502"/>
        <v>0</v>
      </c>
      <c r="AU344" s="104">
        <f t="shared" si="502"/>
        <v>0</v>
      </c>
      <c r="AV344" s="104">
        <f t="shared" si="502"/>
        <v>0</v>
      </c>
      <c r="AW344" s="104">
        <f t="shared" si="502"/>
        <v>8</v>
      </c>
      <c r="AX344" s="104">
        <f t="shared" si="502"/>
        <v>598848.49702999974</v>
      </c>
      <c r="AY344" s="104">
        <f t="shared" si="502"/>
        <v>55</v>
      </c>
      <c r="AZ344" s="104">
        <f t="shared" si="502"/>
        <v>4883749.6671880009</v>
      </c>
      <c r="BA344" s="104">
        <f t="shared" si="502"/>
        <v>0</v>
      </c>
      <c r="BB344" s="104">
        <f t="shared" si="502"/>
        <v>0</v>
      </c>
      <c r="BC344" s="104">
        <f t="shared" si="502"/>
        <v>0</v>
      </c>
      <c r="BD344" s="104">
        <f t="shared" si="502"/>
        <v>0</v>
      </c>
      <c r="BE344" s="104">
        <f t="shared" si="502"/>
        <v>12</v>
      </c>
      <c r="BF344" s="104">
        <f t="shared" si="502"/>
        <v>753026.76399999997</v>
      </c>
      <c r="BG344" s="104">
        <f t="shared" si="502"/>
        <v>0</v>
      </c>
      <c r="BH344" s="104">
        <f t="shared" si="502"/>
        <v>0</v>
      </c>
      <c r="BI344" s="104">
        <f t="shared" si="502"/>
        <v>8</v>
      </c>
      <c r="BJ344" s="104">
        <f t="shared" si="502"/>
        <v>788165.66875199985</v>
      </c>
      <c r="BK344" s="104">
        <f t="shared" si="502"/>
        <v>19</v>
      </c>
      <c r="BL344" s="104">
        <f t="shared" si="502"/>
        <v>1815505.8106079998</v>
      </c>
      <c r="BM344" s="104">
        <f t="shared" si="502"/>
        <v>0</v>
      </c>
      <c r="BN344" s="104">
        <f t="shared" si="502"/>
        <v>0</v>
      </c>
      <c r="BO344" s="104">
        <f t="shared" si="502"/>
        <v>0</v>
      </c>
      <c r="BP344" s="104">
        <f t="shared" si="502"/>
        <v>0</v>
      </c>
      <c r="BQ344" s="104">
        <f t="shared" si="502"/>
        <v>0</v>
      </c>
      <c r="BR344" s="104">
        <f t="shared" si="502"/>
        <v>0</v>
      </c>
      <c r="BS344" s="104">
        <f t="shared" si="502"/>
        <v>26</v>
      </c>
      <c r="BT344" s="104">
        <f t="shared" si="502"/>
        <v>1843426.3187199999</v>
      </c>
      <c r="BU344" s="104">
        <f t="shared" si="502"/>
        <v>0</v>
      </c>
      <c r="BV344" s="104">
        <f t="shared" si="502"/>
        <v>0</v>
      </c>
      <c r="BW344" s="104">
        <f t="shared" si="502"/>
        <v>0</v>
      </c>
      <c r="BX344" s="104">
        <f t="shared" si="502"/>
        <v>0</v>
      </c>
      <c r="BY344" s="104">
        <f t="shared" si="502"/>
        <v>0</v>
      </c>
      <c r="BZ344" s="104">
        <f t="shared" si="502"/>
        <v>0</v>
      </c>
      <c r="CA344" s="104">
        <f t="shared" si="502"/>
        <v>11</v>
      </c>
      <c r="CB344" s="104">
        <f t="shared" si="502"/>
        <v>877561.75345999992</v>
      </c>
      <c r="CC344" s="104">
        <f t="shared" si="502"/>
        <v>3</v>
      </c>
      <c r="CD344" s="104">
        <f t="shared" si="502"/>
        <v>206390.30218333329</v>
      </c>
      <c r="CE344" s="104">
        <f t="shared" ref="CE344:CX344" si="503">SUM(CE345:CE349)</f>
        <v>2</v>
      </c>
      <c r="CF344" s="104">
        <f t="shared" si="503"/>
        <v>107775.20599999998</v>
      </c>
      <c r="CG344" s="104">
        <f t="shared" si="503"/>
        <v>0</v>
      </c>
      <c r="CH344" s="104">
        <f t="shared" si="503"/>
        <v>0</v>
      </c>
      <c r="CI344" s="104">
        <f t="shared" si="503"/>
        <v>0</v>
      </c>
      <c r="CJ344" s="104">
        <f t="shared" si="503"/>
        <v>0</v>
      </c>
      <c r="CK344" s="104">
        <f t="shared" si="503"/>
        <v>0</v>
      </c>
      <c r="CL344" s="104">
        <f t="shared" si="503"/>
        <v>0</v>
      </c>
      <c r="CM344" s="104">
        <f t="shared" si="503"/>
        <v>0</v>
      </c>
      <c r="CN344" s="104">
        <f t="shared" si="503"/>
        <v>0</v>
      </c>
      <c r="CO344" s="104">
        <f t="shared" si="503"/>
        <v>0</v>
      </c>
      <c r="CP344" s="104">
        <f t="shared" si="503"/>
        <v>0</v>
      </c>
      <c r="CQ344" s="104">
        <f t="shared" si="503"/>
        <v>0</v>
      </c>
      <c r="CR344" s="104">
        <f t="shared" si="503"/>
        <v>0</v>
      </c>
      <c r="CS344" s="104">
        <f t="shared" si="503"/>
        <v>2</v>
      </c>
      <c r="CT344" s="104">
        <f t="shared" si="503"/>
        <v>230926.36975916661</v>
      </c>
      <c r="CU344" s="104">
        <f t="shared" si="503"/>
        <v>0</v>
      </c>
      <c r="CV344" s="104">
        <f t="shared" si="503"/>
        <v>0</v>
      </c>
      <c r="CW344" s="104">
        <f t="shared" si="503"/>
        <v>710</v>
      </c>
      <c r="CX344" s="104">
        <f t="shared" si="503"/>
        <v>66731084.882256672</v>
      </c>
    </row>
    <row r="345" spans="1:102" ht="30" x14ac:dyDescent="0.25">
      <c r="A345" s="91"/>
      <c r="B345" s="116">
        <v>275</v>
      </c>
      <c r="C345" s="117" t="s">
        <v>808</v>
      </c>
      <c r="D345" s="161" t="s">
        <v>809</v>
      </c>
      <c r="E345" s="95">
        <v>28004</v>
      </c>
      <c r="F345" s="96">
        <v>29405</v>
      </c>
      <c r="G345" s="119">
        <v>2.0499999999999998</v>
      </c>
      <c r="H345" s="110">
        <v>0.9</v>
      </c>
      <c r="I345" s="110">
        <v>0.85</v>
      </c>
      <c r="J345" s="203"/>
      <c r="K345" s="203"/>
      <c r="L345" s="63"/>
      <c r="M345" s="120">
        <v>1.4</v>
      </c>
      <c r="N345" s="120">
        <v>1.68</v>
      </c>
      <c r="O345" s="120">
        <v>2.23</v>
      </c>
      <c r="P345" s="121">
        <v>2.57</v>
      </c>
      <c r="Q345" s="122">
        <v>60</v>
      </c>
      <c r="R345" s="123">
        <f>(Q345/12*2*$E345*$G345*$H345*$M345*$R$11)+(Q345/12*10*$F345*$G345*$I345*$M345*$R$11)</f>
        <v>4741020.0144999996</v>
      </c>
      <c r="S345" s="124"/>
      <c r="T345" s="125">
        <f>(S345/12*2*$E345*$G345*$H345*$M345*$R$11)+(S345/12*10*$F345*$G345*$I345*$M345*$R$11)</f>
        <v>0</v>
      </c>
      <c r="U345" s="123">
        <v>4</v>
      </c>
      <c r="V345" s="123">
        <f>(U345/12*2*$E345*$G345*$H345*$M345*$V$11)+(U345/12*10*$F345*$G345*$I345*$M345*$V$12)</f>
        <v>385530.54878333322</v>
      </c>
      <c r="W345" s="123"/>
      <c r="X345" s="126">
        <f>(W345/12*2*$E345*$G345*$H345*$M345*$X$11)+(W345/12*10*$F345*$G345*$I345*$M345*$X$12)</f>
        <v>0</v>
      </c>
      <c r="Y345" s="123"/>
      <c r="Z345" s="123">
        <f>(Y345/12*2*$E345*$G345*$H345*$M345*$Z$11)+(Y345/12*10*$F345*$G345*$I345*$M345*$Z$12)</f>
        <v>0</v>
      </c>
      <c r="AA345" s="123"/>
      <c r="AB345" s="123">
        <f>(AA345/12*2*$E345*$G345*$H345*$M345*$AB$11)+(AA345/12*10*$F345*$G345*$I345*$M345*$AB$11)</f>
        <v>0</v>
      </c>
      <c r="AC345" s="123"/>
      <c r="AD345" s="123"/>
      <c r="AE345" s="123">
        <v>2</v>
      </c>
      <c r="AF345" s="127">
        <f>(AE345/12*2*$E345*$G345*$H345*$M345*$AF$11)+(AE345/12*10*$F345*$G345*$I345*$M345*$AF$11)</f>
        <v>158034.00048333331</v>
      </c>
      <c r="AG345" s="123">
        <v>5</v>
      </c>
      <c r="AH345" s="126">
        <f>(AG345/12*2*$E345*$G345*$H345*$M345*$AH$11)+(AG345/12*10*$F345*$G345*$I345*$M345*$AH$11)</f>
        <v>395085.00120833341</v>
      </c>
      <c r="AI345" s="130">
        <v>21</v>
      </c>
      <c r="AJ345" s="123">
        <f t="shared" ref="AJ345:AJ347" si="504">(AI345/12*2*$E345*$G345*$H345*$M345*$AJ$11)+(AI345/12*5*$F345*$G345*$I345*$M345*$AJ$12)+(AI345/12*5*$F345*$G345*$I345*$M345*$AJ$13)</f>
        <v>1948504.9166624998</v>
      </c>
      <c r="AK345" s="123">
        <v>15</v>
      </c>
      <c r="AL345" s="123">
        <f t="shared" ref="AL345:AL347" si="505">(AK345/12*2*$E345*$G345*$H345*$N345*$AL$11)+(AK345/12*5*$F345*$G345*$I345*$N345*$AL$12)+(AK345/12*5*$F345*$G345*$I345*$N345*$AL$13)</f>
        <v>1670147.0714249997</v>
      </c>
      <c r="AM345" s="132"/>
      <c r="AN345" s="123">
        <f>(AM345/12*2*$E345*$G345*$H345*$N345*$AN$11)+(AM345/12*10*$F345*$G345*$I345*$N345*$AN$12)</f>
        <v>0</v>
      </c>
      <c r="AO345" s="130"/>
      <c r="AP345" s="127">
        <f>(AO345/12*2*$E345*$G345*$H345*$N345*$AP$11)+(AO345/12*10*$F345*$G345*$I345*$N345*$AP$11)</f>
        <v>0</v>
      </c>
      <c r="AQ345" s="127">
        <v>0</v>
      </c>
      <c r="AR345" s="127">
        <v>0</v>
      </c>
      <c r="AS345" s="123"/>
      <c r="AT345" s="123"/>
      <c r="AU345" s="123"/>
      <c r="AV345" s="126"/>
      <c r="AW345" s="123">
        <v>2</v>
      </c>
      <c r="AX345" s="123">
        <f>(AW345/12*2*$E345*$G345*$H345*$M345*$AX$11)+(AW345/12*10*$F345*$G345*$I345*$M345*$AX$12)</f>
        <v>165227.37804999994</v>
      </c>
      <c r="AY345" s="123">
        <v>12</v>
      </c>
      <c r="AZ345" s="123">
        <f>(AY345/12*2*$E345*$G345*$H345*$N345*$AZ$11)+(AY345/12*10*$F345*$G345*$I345*$N345*$AZ$11)</f>
        <v>1137844.80348</v>
      </c>
      <c r="BA345" s="123"/>
      <c r="BB345" s="123">
        <f>(BA345/12*2*$E345*$G345*$H345*$N345*$BB$11)+(BA345/12*10*$F345*$G345*$I345*$N345*$BB$12)</f>
        <v>0</v>
      </c>
      <c r="BC345" s="123"/>
      <c r="BD345" s="126"/>
      <c r="BE345" s="123"/>
      <c r="BF345" s="123">
        <f>(BE345/12*10*$F345*$G345*$I345*$N345*$BF$12)</f>
        <v>0</v>
      </c>
      <c r="BG345" s="123"/>
      <c r="BH345" s="123">
        <f>(BG345/12*2*$E345*$G345*$H345*$N345*$BH$11)+(BG345/12*10*$F345*$G345*$I345*$N345*$BH$11)</f>
        <v>0</v>
      </c>
      <c r="BI345" s="123">
        <v>2</v>
      </c>
      <c r="BJ345" s="126">
        <f>(BI345/12*2*$E345*$G345*$H345*$N345*$BJ$11)+(BI345/12*10*$F345*$G345*$I345*$N345*$BJ$11)</f>
        <v>206880.87335999994</v>
      </c>
      <c r="BK345" s="123">
        <v>2</v>
      </c>
      <c r="BL345" s="127">
        <f>(BK345/12*2*$E345*$G345*$H345*$N345*$BL$11)+(BK345/12*10*$F345*$G345*$I345*$N345*$BL$11)</f>
        <v>206880.87335999994</v>
      </c>
      <c r="BM345" s="123"/>
      <c r="BN345" s="123">
        <f>(BM345/12*2*$E345*$G345*$H345*$M345*$BN$11)+(BM345/12*10*$F345*$G345*$I345*$M345*$BN$11)</f>
        <v>0</v>
      </c>
      <c r="BO345" s="123"/>
      <c r="BP345" s="123">
        <f>(BO345/12*2*$E345*$G345*$H345*$M345*$BP$11)+(BO345/12*10*$F345*$G345*$I345*$M345*$BP$12)</f>
        <v>0</v>
      </c>
      <c r="BQ345" s="123"/>
      <c r="BR345" s="123">
        <f>(BQ345/12*2*$E345*$G345*$H345*$M345*$BR$11)+(BQ345/12*10*$F345*$G345*$I345*$M345*$BR$11)</f>
        <v>0</v>
      </c>
      <c r="BS345" s="123"/>
      <c r="BT345" s="123">
        <f>(BS345/12*2*$E345*$G345*$H345*$N345*$BT$11)+(BS345/12*10*$F345*$G345*$I345*$N345*$BT$11)</f>
        <v>0</v>
      </c>
      <c r="BU345" s="123"/>
      <c r="BV345" s="126">
        <f>(BU345/12*2*$E345*$G345*$H345*$M345*$BV$11)+(BU345/12*10*$F345*$G345*$I345*$M345*$BV$11)</f>
        <v>0</v>
      </c>
      <c r="BW345" s="123"/>
      <c r="BX345" s="123">
        <f>(BW345/12*2*$E345*$G345*$H345*$M345*$BX$11)+(BW345/12*10*$F345*$G345*$I345*$M345*$BX$11)</f>
        <v>0</v>
      </c>
      <c r="BY345" s="123"/>
      <c r="BZ345" s="123">
        <f>(BY345/12*2*$E345*$G345*$H345*$M345*$BZ$11)+(BY345/12*10*$F345*$G345*$I345*$M345*$BZ$11)</f>
        <v>0</v>
      </c>
      <c r="CA345" s="123">
        <v>1</v>
      </c>
      <c r="CB345" s="123">
        <f>(CA345/12*2*$E345*$G345*$H345*$M345*$CB$11)+(CA345/12*10*$F345*$G345*$I345*$M345*$CB$11)</f>
        <v>86200.363899999982</v>
      </c>
      <c r="CC345" s="123">
        <v>1</v>
      </c>
      <c r="CD345" s="123">
        <f>(CC345/12*2*$E345*$G345*$H345*$M345*$CD$11)+(CC345/12*10*$F345*$G345*$I345*$M345*$CD$11)</f>
        <v>71833.636583333311</v>
      </c>
      <c r="CE345" s="123"/>
      <c r="CF345" s="123">
        <f>(CE345/12*10*$F345*$G345*$I345*$N345*$CF$11)</f>
        <v>0</v>
      </c>
      <c r="CG345" s="132"/>
      <c r="CH345" s="123">
        <f>(CG345/12*2*$E345*$G345*$H345*$N345*$CH$11)+(CG345/12*10*$F345*$G345*$I345*$N345*$CH$11)</f>
        <v>0</v>
      </c>
      <c r="CI345" s="123"/>
      <c r="CJ345" s="127"/>
      <c r="CK345" s="123"/>
      <c r="CL345" s="123">
        <f>(CK345/12*2*$E345*$G345*$H345*$N345*$CL$11)+(CK345/12*10*$F345*$G345*$I345*$N345*$CL$12)</f>
        <v>0</v>
      </c>
      <c r="CM345" s="130"/>
      <c r="CN345" s="123">
        <f>(CM345/12*2*$E345*$G345*$H345*$N345*$CN$11)+(CM345/12*10*$F345*$G345*$I345*$N345*$CN$11)</f>
        <v>0</v>
      </c>
      <c r="CO345" s="123"/>
      <c r="CP345" s="123">
        <f>(CO345/12*2*$E345*$G345*$H345*$N345*$CP$11)+(CO345/12*10*$F345*$G345*$I345*$N345*$CP$11)</f>
        <v>0</v>
      </c>
      <c r="CQ345" s="123"/>
      <c r="CR345" s="123">
        <f>(CQ345/12*2*$E345*$G345*$H345*$O345*$CR$11)+(CQ345/12*10*$F345*$G345*$I345*$O345*$CR$11)</f>
        <v>0</v>
      </c>
      <c r="CS345" s="123">
        <v>1</v>
      </c>
      <c r="CT345" s="133">
        <f>(CS345/12*2*$E345*$G345*$H345*$P345*$CT$11)+(CS345/12*10*$F345*$G345*$I345*$P345*$CT$11)</f>
        <v>131866.0328708333</v>
      </c>
      <c r="CU345" s="127"/>
      <c r="CV345" s="123"/>
      <c r="CW345" s="126">
        <f t="shared" ref="CW345:CX349" si="506">SUM(Q345,S345,U345,W345,Y345,AA345,AC345,AE345,AG345,AM345,BQ345,AI345,AU345,CC345,AW345,AY345,AK345,BC345,AO345,AQ345,BE345,CE345,BG345,BI345,BK345,BS345,BM345,BO345,BU345,BW345,BY345,CA345,CG345,BA345,AS345,CI345,CK345,CM345,CO345,CQ345,CS345,CU345)</f>
        <v>128</v>
      </c>
      <c r="CX345" s="126">
        <f t="shared" si="506"/>
        <v>11305055.514666665</v>
      </c>
    </row>
    <row r="346" spans="1:102" ht="45" customHeight="1" x14ac:dyDescent="0.25">
      <c r="A346" s="91"/>
      <c r="B346" s="116">
        <v>276</v>
      </c>
      <c r="C346" s="117" t="s">
        <v>810</v>
      </c>
      <c r="D346" s="161" t="s">
        <v>811</v>
      </c>
      <c r="E346" s="95">
        <v>28004</v>
      </c>
      <c r="F346" s="96">
        <v>29405</v>
      </c>
      <c r="G346" s="119">
        <v>1.54</v>
      </c>
      <c r="H346" s="110">
        <v>0.9</v>
      </c>
      <c r="I346" s="110">
        <v>0.85</v>
      </c>
      <c r="J346" s="108"/>
      <c r="K346" s="108"/>
      <c r="L346" s="63"/>
      <c r="M346" s="120">
        <v>1.4</v>
      </c>
      <c r="N346" s="120">
        <v>1.68</v>
      </c>
      <c r="O346" s="120">
        <v>2.23</v>
      </c>
      <c r="P346" s="121">
        <v>2.57</v>
      </c>
      <c r="Q346" s="122">
        <v>12</v>
      </c>
      <c r="R346" s="123">
        <f>(Q346/12*2*$E346*$G346*$H346*$M346*$R$11)+(Q346/12*10*$F346*$G346*$I346*$M346*$R$11)</f>
        <v>712309.34852</v>
      </c>
      <c r="S346" s="124">
        <v>3</v>
      </c>
      <c r="T346" s="125">
        <f>(S346/12*2*$E346*$G346*$H346*$M346*$R$11)+(S346/12*10*$F346*$G346*$I346*$M346*$R$11)</f>
        <v>178077.33713</v>
      </c>
      <c r="U346" s="123">
        <v>5</v>
      </c>
      <c r="V346" s="123">
        <f>(U346/12*2*$E346*$G346*$H346*$M346*$V$11)+(U346/12*10*$F346*$G346*$I346*$M346*$V$12)</f>
        <v>362022.58849166671</v>
      </c>
      <c r="W346" s="123"/>
      <c r="X346" s="126">
        <f>(W346/12*2*$E346*$G346*$H346*$M346*$X$11)+(W346/12*10*$F346*$G346*$I346*$M346*$X$12)</f>
        <v>0</v>
      </c>
      <c r="Y346" s="123">
        <v>1</v>
      </c>
      <c r="Z346" s="123">
        <f>(Y346*$F346*$G346*$I346*$M346*$Z$12)</f>
        <v>71670.511990000014</v>
      </c>
      <c r="AA346" s="123"/>
      <c r="AB346" s="123">
        <f>(AA346/12*2*$E346*$G346*$H346*$M346*$AB$11)+(AA346/12*10*$F346*$G346*$I346*$M346*$AB$11)</f>
        <v>0</v>
      </c>
      <c r="AC346" s="123"/>
      <c r="AD346" s="123"/>
      <c r="AE346" s="123"/>
      <c r="AF346" s="123">
        <f>(AE346/12*2*$E346*$G346*$H346*$M346*$AF$11)+(AE346/12*10*$F346*$G346*$I346*$M346*$AF$11)</f>
        <v>0</v>
      </c>
      <c r="AG346" s="135">
        <v>0</v>
      </c>
      <c r="AH346" s="136">
        <f>(AG346/12*2*$E346*$G346*$H346*$M346*$AH$11)+(AG346/12*10*$F346*$G346*$I346*$M346*$AH$11)</f>
        <v>0</v>
      </c>
      <c r="AI346" s="123"/>
      <c r="AJ346" s="123">
        <f t="shared" si="504"/>
        <v>0</v>
      </c>
      <c r="AK346" s="123">
        <v>8</v>
      </c>
      <c r="AL346" s="123">
        <f t="shared" si="505"/>
        <v>669145.10308799986</v>
      </c>
      <c r="AM346" s="132">
        <v>3</v>
      </c>
      <c r="AN346" s="123">
        <f>(AM346/12*2*$E346*$G346*$H346*$N346*$AN$11)+(AM346/12*10*$F346*$G346*$I346*$N346*$AN$12)</f>
        <v>260656.26371400003</v>
      </c>
      <c r="AO346" s="130"/>
      <c r="AP346" s="127">
        <f>(AO346/12*2*$E346*$G346*$H346*$N346*$AP$11)+(AO346/12*10*$F346*$G346*$I346*$N346*$AP$11)</f>
        <v>0</v>
      </c>
      <c r="AQ346" s="127">
        <v>0</v>
      </c>
      <c r="AR346" s="127">
        <v>0</v>
      </c>
      <c r="AS346" s="123"/>
      <c r="AT346" s="123"/>
      <c r="AU346" s="123"/>
      <c r="AV346" s="126"/>
      <c r="AW346" s="123">
        <v>2</v>
      </c>
      <c r="AX346" s="123">
        <f>(AW346/12*2*$E346*$G346*$H346*$M346*$AX$11)+(AW346/12*10*$F346*$G346*$I346*$M346*$AX$12)</f>
        <v>124122.03033999997</v>
      </c>
      <c r="AY346" s="123">
        <v>7</v>
      </c>
      <c r="AZ346" s="123">
        <f>(AY346/12*2*$E346*$G346*$H346*$N346*$AZ$11)+(AY346/12*10*$F346*$G346*$I346*$N346*$AZ$11)</f>
        <v>498616.54396400001</v>
      </c>
      <c r="BA346" s="123"/>
      <c r="BB346" s="123">
        <f>(BA346/12*2*$E346*$G346*$H346*$N346*$BB$11)+(BA346/12*10*$F346*$G346*$I346*$N346*$BB$12)</f>
        <v>0</v>
      </c>
      <c r="BC346" s="123"/>
      <c r="BD346" s="126"/>
      <c r="BE346" s="123">
        <v>4</v>
      </c>
      <c r="BF346" s="123">
        <f>(BE346/12*10*$F346*$G346*$I346*$N346*$BF$12)</f>
        <v>215550.41199999995</v>
      </c>
      <c r="BG346" s="123"/>
      <c r="BH346" s="123">
        <f>(BG346/12*2*$E346*$G346*$H346*$N346*$BH$11)+(BG346/12*10*$F346*$G346*$I346*$N346*$BH$11)</f>
        <v>0</v>
      </c>
      <c r="BI346" s="123"/>
      <c r="BJ346" s="126">
        <f>(BI346/12*2*$E346*$G346*$H346*$N346*$BJ$11)+(BI346/12*10*$F346*$G346*$I346*$N346*$BJ$11)</f>
        <v>0</v>
      </c>
      <c r="BK346" s="123">
        <v>2</v>
      </c>
      <c r="BL346" s="127">
        <f>(BK346/12*2*$E346*$G346*$H346*$N346*$BL$11)+(BK346/12*10*$F346*$G346*$I346*$N346*$BL$11)</f>
        <v>155412.94876799997</v>
      </c>
      <c r="BM346" s="123"/>
      <c r="BN346" s="123">
        <f>(BM346/12*2*$E346*$G346*$H346*$M346*$BN$11)+(BM346/12*10*$F346*$G346*$I346*$M346*$BN$11)</f>
        <v>0</v>
      </c>
      <c r="BO346" s="123"/>
      <c r="BP346" s="123">
        <f>(BO346/12*2*$E346*$G346*$H346*$M346*$BP$11)+(BO346/12*10*$F346*$G346*$I346*$M346*$BP$12)</f>
        <v>0</v>
      </c>
      <c r="BQ346" s="123"/>
      <c r="BR346" s="123">
        <f>(BQ346/12*2*$E346*$G346*$H346*$M346*$BR$11)+(BQ346/12*10*$F346*$G346*$I346*$M346*$BR$11)</f>
        <v>0</v>
      </c>
      <c r="BS346" s="123">
        <v>16</v>
      </c>
      <c r="BT346" s="123">
        <f>(BS346/12*2*$E346*$G346*$H346*$N346*$BT$11)+(BS346/12*10*$F346*$G346*$I346*$N346*$BT$11)</f>
        <v>1036086.3251199998</v>
      </c>
      <c r="BU346" s="123"/>
      <c r="BV346" s="126">
        <f>(BU346/12*2*$E346*$G346*$H346*$M346*$BV$11)+(BU346/12*10*$F346*$G346*$I346*$M346*$BV$11)</f>
        <v>0</v>
      </c>
      <c r="BW346" s="123"/>
      <c r="BX346" s="123">
        <f>(BW346/12*2*$E346*$G346*$H346*$M346*$BX$11)+(BW346/12*10*$F346*$G346*$I346*$M346*$BX$11)</f>
        <v>0</v>
      </c>
      <c r="BY346" s="123"/>
      <c r="BZ346" s="123">
        <f>(BY346/12*2*$E346*$G346*$H346*$M346*$BZ$11)+(BY346/12*10*$F346*$G346*$I346*$M346*$BZ$11)</f>
        <v>0</v>
      </c>
      <c r="CA346" s="123">
        <v>1</v>
      </c>
      <c r="CB346" s="123">
        <f>(CA346/12*2*$E346*$G346*$H346*$M346*$CB$11)+(CA346/12*10*$F346*$G346*$I346*$M346*$CB$11)</f>
        <v>64755.395319999989</v>
      </c>
      <c r="CC346" s="123"/>
      <c r="CD346" s="123">
        <f>(CC346/12*2*$E346*$G346*$H346*$M346*$CD$11)+(CC346/12*10*$F346*$G346*$I346*$M346*$CD$11)</f>
        <v>0</v>
      </c>
      <c r="CE346" s="123">
        <v>2</v>
      </c>
      <c r="CF346" s="123">
        <f>(CE346/12*10*$F346*$G346*$I346*$N346*$CF$11)</f>
        <v>107775.20599999998</v>
      </c>
      <c r="CG346" s="132"/>
      <c r="CH346" s="123">
        <f>(CG346/12*2*$E346*$G346*$H346*$N346*$CH$11)+(CG346/12*10*$F346*$G346*$I346*$N346*$CH$11)</f>
        <v>0</v>
      </c>
      <c r="CI346" s="123"/>
      <c r="CJ346" s="127"/>
      <c r="CK346" s="123"/>
      <c r="CL346" s="123">
        <f>(CK346/12*2*$E346*$G346*$H346*$N346*$CL$11)+(CK346/12*10*$F346*$G346*$I346*$N346*$CL$12)</f>
        <v>0</v>
      </c>
      <c r="CM346" s="130"/>
      <c r="CN346" s="123">
        <f>(CM346/12*2*$E346*$G346*$H346*$N346*$CN$11)+(CM346/12*10*$F346*$G346*$I346*$N346*$CN$11)</f>
        <v>0</v>
      </c>
      <c r="CO346" s="123"/>
      <c r="CP346" s="123">
        <f>(CO346/12*2*$E346*$G346*$H346*$N346*$CP$11)+(CO346/12*10*$F346*$G346*$I346*$N346*$CP$11)</f>
        <v>0</v>
      </c>
      <c r="CQ346" s="123"/>
      <c r="CR346" s="123">
        <f>(CQ346/12*2*$E346*$G346*$H346*$O346*$CR$11)+(CQ346/12*10*$F346*$G346*$I346*$O346*$CR$11)</f>
        <v>0</v>
      </c>
      <c r="CS346" s="123">
        <v>1</v>
      </c>
      <c r="CT346" s="133">
        <f>(CS346/12*2*$E346*$G346*$H346*$P346*$CT$11)+(CS346/12*10*$F346*$G346*$I346*$P346*$CT$11)</f>
        <v>99060.336888333317</v>
      </c>
      <c r="CU346" s="127"/>
      <c r="CV346" s="123"/>
      <c r="CW346" s="126">
        <f t="shared" si="506"/>
        <v>67</v>
      </c>
      <c r="CX346" s="126">
        <f t="shared" si="506"/>
        <v>4555260.351334</v>
      </c>
    </row>
    <row r="347" spans="1:102" ht="45" customHeight="1" x14ac:dyDescent="0.25">
      <c r="A347" s="91"/>
      <c r="B347" s="116">
        <v>277</v>
      </c>
      <c r="C347" s="117" t="s">
        <v>812</v>
      </c>
      <c r="D347" s="161" t="s">
        <v>813</v>
      </c>
      <c r="E347" s="95">
        <v>28004</v>
      </c>
      <c r="F347" s="96">
        <v>29405</v>
      </c>
      <c r="G347" s="119">
        <v>1.92</v>
      </c>
      <c r="H347" s="110">
        <v>0.9</v>
      </c>
      <c r="I347" s="110">
        <v>0.85</v>
      </c>
      <c r="J347" s="108"/>
      <c r="K347" s="108"/>
      <c r="L347" s="63"/>
      <c r="M347" s="120">
        <v>1.4</v>
      </c>
      <c r="N347" s="120">
        <v>1.68</v>
      </c>
      <c r="O347" s="120">
        <v>2.23</v>
      </c>
      <c r="P347" s="121">
        <v>2.57</v>
      </c>
      <c r="Q347" s="122">
        <v>166</v>
      </c>
      <c r="R347" s="123">
        <f>(Q347/12*2*$E347*$G347*$H347*$M347*$R$11)+(Q347/12*10*$F347*$G347*$I347*$M347*$R$11)</f>
        <v>12285023.569280002</v>
      </c>
      <c r="S347" s="124">
        <v>8</v>
      </c>
      <c r="T347" s="125">
        <f>(S347/12*2*$E347*$G347*$H347*$M347*$R$11)+(S347/12*10*$F347*$G347*$I347*$M347*$R$11)</f>
        <v>592049.32863999996</v>
      </c>
      <c r="U347" s="123">
        <v>8</v>
      </c>
      <c r="V347" s="123">
        <f>(U347/12*2*$E347*$G347*$H347*$M347*$V$11)+(U347/12*10*$F347*$G347*$I347*$M347*$V$12)</f>
        <v>722164.54015999986</v>
      </c>
      <c r="W347" s="123"/>
      <c r="X347" s="126">
        <f>(W347/12*2*$E347*$G347*$H347*$M347*$X$11)+(W347/12*10*$F347*$G347*$I347*$M347*$X$12)</f>
        <v>0</v>
      </c>
      <c r="Y347" s="123">
        <f>6+4</f>
        <v>10</v>
      </c>
      <c r="Z347" s="123">
        <f>(Y347/12*2*$E347*$G347*$H347*$M347*$Z$11)+(Y347/12*10*$F347*$G347*$I347*$M347*$Z$12)</f>
        <v>902705.67519999994</v>
      </c>
      <c r="AA347" s="123"/>
      <c r="AB347" s="123">
        <f>(AA347/12*2*$E347*$G347*$H347*$M347*$AB$11)+(AA347/12*10*$F347*$G347*$I347*$M347*$AB$11)</f>
        <v>0</v>
      </c>
      <c r="AC347" s="123"/>
      <c r="AD347" s="123"/>
      <c r="AE347" s="123"/>
      <c r="AF347" s="127">
        <f>(AE347/12*2*$E347*$G347*$H347*$M347*$AF$11)+(AE347/12*10*$F347*$G347*$I347*$M347*$AF$11)</f>
        <v>0</v>
      </c>
      <c r="AG347" s="123">
        <v>3</v>
      </c>
      <c r="AH347" s="126">
        <f>(AG347/12*2*$E347*$G347*$H347*$M347*$AH$11)+(AG347/12*10*$F347*$G347*$I347*$M347*$AH$11)</f>
        <v>222018.49824000002</v>
      </c>
      <c r="AI347" s="130"/>
      <c r="AJ347" s="123">
        <f t="shared" si="504"/>
        <v>0</v>
      </c>
      <c r="AK347" s="123">
        <v>70</v>
      </c>
      <c r="AL347" s="123">
        <f t="shared" si="505"/>
        <v>7299764.7609599987</v>
      </c>
      <c r="AM347" s="132"/>
      <c r="AN347" s="123">
        <f>(AM347/12*2*$E347*$G347*$H347*$N347*$AN$11)+(AM347/12*10*$F347*$G347*$I347*$N347*$AN$12)</f>
        <v>0</v>
      </c>
      <c r="AO347" s="130"/>
      <c r="AP347" s="127">
        <f>(AO347/12*2*$E347*$G347*$H347*$N347*$AP$11)+(AO347/12*10*$F347*$G347*$I347*$N347*$AP$11)</f>
        <v>0</v>
      </c>
      <c r="AQ347" s="127">
        <v>0</v>
      </c>
      <c r="AR347" s="127">
        <v>0</v>
      </c>
      <c r="AS347" s="123"/>
      <c r="AT347" s="123"/>
      <c r="AU347" s="123"/>
      <c r="AV347" s="126"/>
      <c r="AW347" s="123">
        <v>4</v>
      </c>
      <c r="AX347" s="123">
        <f>(AW347/12*2*$E347*$G347*$H347*$M347*$AX$11)+(AW347/12*10*$F347*$G347*$I347*$M347*$AX$12)</f>
        <v>309499.08863999991</v>
      </c>
      <c r="AY347" s="123">
        <v>34</v>
      </c>
      <c r="AZ347" s="123">
        <f>(AY347/12*2*$E347*$G347*$H347*$N347*$AZ$11)+(AY347/12*10*$F347*$G347*$I347*$N347*$AZ$11)</f>
        <v>3019451.5760640004</v>
      </c>
      <c r="BA347" s="123"/>
      <c r="BB347" s="123">
        <f>(BA347/12*2*$E347*$G347*$H347*$N347*$BB$11)+(BA347/12*10*$F347*$G347*$I347*$N347*$BB$12)</f>
        <v>0</v>
      </c>
      <c r="BC347" s="123"/>
      <c r="BD347" s="126"/>
      <c r="BE347" s="123">
        <v>8</v>
      </c>
      <c r="BF347" s="123">
        <f>(BE347/12*10*$F347*$G347*$I347*$N347*$BF$12)</f>
        <v>537476.35199999996</v>
      </c>
      <c r="BG347" s="123"/>
      <c r="BH347" s="123">
        <f>(BG347/12*2*$E347*$G347*$H347*$N347*$BH$11)+(BG347/12*10*$F347*$G347*$I347*$N347*$BH$11)</f>
        <v>0</v>
      </c>
      <c r="BI347" s="123">
        <v>6</v>
      </c>
      <c r="BJ347" s="126">
        <f>(BI347/12*2*$E347*$G347*$H347*$N347*$BJ$11)+(BI347/12*10*$F347*$G347*$I347*$N347*$BJ$11)</f>
        <v>581284.79539199988</v>
      </c>
      <c r="BK347" s="123">
        <v>15</v>
      </c>
      <c r="BL347" s="127">
        <f>(BK347/12*2*$E347*$G347*$H347*$N347*$BL$11)+(BK347/12*10*$F347*$G347*$I347*$N347*$BL$11)</f>
        <v>1453211.9884799998</v>
      </c>
      <c r="BM347" s="123"/>
      <c r="BN347" s="123">
        <f>(BM347/12*2*$E347*$G347*$H347*$M347*$BN$11)+(BM347/12*10*$F347*$G347*$I347*$M347*$BN$11)</f>
        <v>0</v>
      </c>
      <c r="BO347" s="123"/>
      <c r="BP347" s="123">
        <f>(BO347/12*2*$E347*$G347*$H347*$M347*$BP$11)+(BO347/12*10*$F347*$G347*$I347*$M347*$BP$12)</f>
        <v>0</v>
      </c>
      <c r="BQ347" s="123"/>
      <c r="BR347" s="123">
        <f>(BQ347/12*2*$E347*$G347*$H347*$M347*$BR$11)+(BQ347/12*10*$F347*$G347*$I347*$M347*$BR$11)</f>
        <v>0</v>
      </c>
      <c r="BS347" s="123">
        <v>10</v>
      </c>
      <c r="BT347" s="123">
        <f>(BS347/12*2*$E347*$G347*$H347*$N347*$BT$11)+(BS347/12*10*$F347*$G347*$I347*$N347*$BT$11)</f>
        <v>807339.99359999993</v>
      </c>
      <c r="BU347" s="123"/>
      <c r="BV347" s="126">
        <f>(BU347/12*2*$E347*$G347*$H347*$M347*$BV$11)+(BU347/12*10*$F347*$G347*$I347*$M347*$BV$11)</f>
        <v>0</v>
      </c>
      <c r="BW347" s="123"/>
      <c r="BX347" s="123">
        <f>(BW347/12*2*$E347*$G347*$H347*$M347*$BX$11)+(BW347/12*10*$F347*$G347*$I347*$M347*$BX$11)</f>
        <v>0</v>
      </c>
      <c r="BY347" s="123"/>
      <c r="BZ347" s="123">
        <f>(BY347/12*2*$E347*$G347*$H347*$M347*$BZ$11)+(BY347/12*10*$F347*$G347*$I347*$M347*$BZ$11)</f>
        <v>0</v>
      </c>
      <c r="CA347" s="123">
        <v>9</v>
      </c>
      <c r="CB347" s="123">
        <f>(CA347/12*2*$E347*$G347*$H347*$M347*$CB$11)+(CA347/12*10*$F347*$G347*$I347*$M347*$CB$11)</f>
        <v>726605.99423999991</v>
      </c>
      <c r="CC347" s="123">
        <v>2</v>
      </c>
      <c r="CD347" s="123">
        <f>(CC347/12*2*$E347*$G347*$H347*$M347*$CD$11)+(CC347/12*10*$F347*$G347*$I347*$M347*$CD$11)</f>
        <v>134556.66559999998</v>
      </c>
      <c r="CE347" s="123"/>
      <c r="CF347" s="123">
        <f>(CE347/12*10*$F347*$G347*$I347*$N347*$CF$11)</f>
        <v>0</v>
      </c>
      <c r="CG347" s="132"/>
      <c r="CH347" s="123">
        <f>(CG347/12*2*$E347*$G347*$H347*$N347*$CH$11)+(CG347/12*10*$F347*$G347*$I347*$N347*$CH$11)</f>
        <v>0</v>
      </c>
      <c r="CI347" s="123"/>
      <c r="CJ347" s="127"/>
      <c r="CK347" s="123"/>
      <c r="CL347" s="123">
        <f>(CK347/12*2*$E347*$G347*$H347*$N347*$CL$11)+(CK347/12*10*$F347*$G347*$I347*$N347*$CL$12)</f>
        <v>0</v>
      </c>
      <c r="CM347" s="130"/>
      <c r="CN347" s="123">
        <f>(CM347/12*2*$E347*$G347*$H347*$N347*$CN$11)+(CM347/12*10*$F347*$G347*$I347*$N347*$CN$11)</f>
        <v>0</v>
      </c>
      <c r="CO347" s="123"/>
      <c r="CP347" s="123">
        <f>(CO347/12*2*$E347*$G347*$H347*$N347*$CP$11)+(CO347/12*10*$F347*$G347*$I347*$N347*$CP$11)</f>
        <v>0</v>
      </c>
      <c r="CQ347" s="123"/>
      <c r="CR347" s="123">
        <f>(CQ347/12*2*$E347*$G347*$H347*$O347*$CR$11)+(CQ347/12*10*$F347*$G347*$I347*$O347*$CR$11)</f>
        <v>0</v>
      </c>
      <c r="CS347" s="123"/>
      <c r="CT347" s="133">
        <f>(CS347/12*2*$E347*$G347*$H347*$P347*$CT$11)+(CS347/12*10*$F347*$G347*$I347*$P347*$CT$11)</f>
        <v>0</v>
      </c>
      <c r="CU347" s="127"/>
      <c r="CV347" s="123"/>
      <c r="CW347" s="126">
        <f t="shared" si="506"/>
        <v>353</v>
      </c>
      <c r="CX347" s="126">
        <f t="shared" si="506"/>
        <v>29593152.826496001</v>
      </c>
    </row>
    <row r="348" spans="1:102" ht="45" customHeight="1" x14ac:dyDescent="0.25">
      <c r="A348" s="91"/>
      <c r="B348" s="116">
        <v>278</v>
      </c>
      <c r="C348" s="117" t="s">
        <v>814</v>
      </c>
      <c r="D348" s="161" t="s">
        <v>815</v>
      </c>
      <c r="E348" s="95">
        <v>28004</v>
      </c>
      <c r="F348" s="96">
        <v>29405</v>
      </c>
      <c r="G348" s="119">
        <v>2.56</v>
      </c>
      <c r="H348" s="110">
        <v>0.95</v>
      </c>
      <c r="I348" s="110">
        <v>0.9</v>
      </c>
      <c r="J348" s="108"/>
      <c r="K348" s="108"/>
      <c r="L348" s="63"/>
      <c r="M348" s="120">
        <v>1.4</v>
      </c>
      <c r="N348" s="120">
        <v>1.68</v>
      </c>
      <c r="O348" s="120">
        <v>2.23</v>
      </c>
      <c r="P348" s="121">
        <v>2.57</v>
      </c>
      <c r="Q348" s="122">
        <v>40</v>
      </c>
      <c r="R348" s="123">
        <f>(Q348/12*2*$E348*$G348*$H348*$M348)+(Q348/12*10*$F348*$G348*$I348*$M348)</f>
        <v>3797279.0613333341</v>
      </c>
      <c r="S348" s="124"/>
      <c r="T348" s="125">
        <f>(S348/12*2*$E348*$G348*$H348*$M348)+(S348/12*10*$F348*$G348*$I348*$M348)</f>
        <v>0</v>
      </c>
      <c r="U348" s="123">
        <v>6</v>
      </c>
      <c r="V348" s="123">
        <f>(U348/12*2*$E348*$G348*$H348*$M348)+(U348/12*10*$F348*$G348*$I348*$M348)</f>
        <v>569591.85920000006</v>
      </c>
      <c r="W348" s="123"/>
      <c r="X348" s="123">
        <f>(W348/12*2*$E348*$G348*$H348*$M348)+(W348/12*10*$F348*$G348*$I348*$M348)</f>
        <v>0</v>
      </c>
      <c r="Y348" s="123">
        <f>7+3</f>
        <v>10</v>
      </c>
      <c r="Z348" s="123">
        <f>(Y348/12*2*$E348*$G348*$H348*$M348)+(Y348/12*10*$F348*$G348*$I348*$M348)</f>
        <v>949319.76533333352</v>
      </c>
      <c r="AA348" s="123"/>
      <c r="AB348" s="123">
        <f>(AA348*$E348*$G348*$H348*$M348)/12*2+(AA348*$F348*$G348*$I348*$M348)/12*10</f>
        <v>0</v>
      </c>
      <c r="AC348" s="123"/>
      <c r="AD348" s="123"/>
      <c r="AE348" s="123"/>
      <c r="AF348" s="123">
        <f>(AE348/12*2*$E348*$G348*$H348*$M348)+(AE348/12*10*$F348*$G348*$I348*$M348)</f>
        <v>0</v>
      </c>
      <c r="AG348" s="135">
        <v>0</v>
      </c>
      <c r="AH348" s="135">
        <f>(AG348/12*2*$E348*$G348*$H348*$M348)+(AG348/12*10*$F348*$G348*$I348*$M348)</f>
        <v>0</v>
      </c>
      <c r="AI348" s="123"/>
      <c r="AJ348" s="123">
        <f>(AI348/12*2*$E348*$G348*$H348*$M348)+(AI348/12*10*$F348*$G348*$I348*$M348)</f>
        <v>0</v>
      </c>
      <c r="AK348" s="123">
        <v>2</v>
      </c>
      <c r="AL348" s="126">
        <f>(AK348/12*2*$E348*$G348*$H348*$N348)+(AK348/12*10*$F348*$G348*$I348*$N348)</f>
        <v>227836.74367999999</v>
      </c>
      <c r="AM348" s="132">
        <v>2</v>
      </c>
      <c r="AN348" s="123">
        <f>(AM348*$F348*$G348*$I348*$N348)</f>
        <v>227637.04320000001</v>
      </c>
      <c r="AO348" s="130"/>
      <c r="AP348" s="123">
        <f>(AO348/12*2*$E348*$G348*$H348*$N348)+(AO348/12*10*$F348*$G348*$I348*$N348)</f>
        <v>0</v>
      </c>
      <c r="AQ348" s="123">
        <v>0</v>
      </c>
      <c r="AR348" s="123">
        <v>0</v>
      </c>
      <c r="AS348" s="123"/>
      <c r="AT348" s="123">
        <f>(AS348*$E348*$G348*$H348*$M348)/12*3+(AS348*$F348*$G348*$I348*$M348)/12*9</f>
        <v>0</v>
      </c>
      <c r="AU348" s="123"/>
      <c r="AV348" s="123"/>
      <c r="AW348" s="123"/>
      <c r="AX348" s="123">
        <f>(AW348/12*2*$E348*$G348*$H348*$M348)+(AW348/12*10*$F348*$G348*$I348*$M348)</f>
        <v>0</v>
      </c>
      <c r="AY348" s="123">
        <v>2</v>
      </c>
      <c r="AZ348" s="123">
        <f>(AY348/12*2*$E348*$G348*$H348*$N348)+(AY348/12*10*$F348*$G348*$I348*$N348)</f>
        <v>227836.74367999999</v>
      </c>
      <c r="BA348" s="123"/>
      <c r="BB348" s="123">
        <f>(BA348/12*2*$E348*$G348*$H348*$N348)+(BA348/12*10*$F348*$G348*$I348*$N348)</f>
        <v>0</v>
      </c>
      <c r="BC348" s="123"/>
      <c r="BD348" s="123">
        <f>(BC348/12*2*$E348*$G348*$H348*$N348)+(BC348/12*10*$F348*$G348*$I348*$N348)</f>
        <v>0</v>
      </c>
      <c r="BE348" s="123"/>
      <c r="BF348" s="123">
        <f>(BE348/12*10*$F348*$G348*$I348*$N348)</f>
        <v>0</v>
      </c>
      <c r="BG348" s="123"/>
      <c r="BH348" s="123">
        <f>(BG348/12*2*$E348*$G348*$H348*$N348)+(BG348/12*10*$F348*$G348*$I348*$N348)</f>
        <v>0</v>
      </c>
      <c r="BI348" s="123"/>
      <c r="BJ348" s="123">
        <f>(BI348/12*2*$E348*$G348*$H348*$N348)+(BI348/12*10*$F348*$G348*$I348*$N348)</f>
        <v>0</v>
      </c>
      <c r="BK348" s="123"/>
      <c r="BL348" s="123">
        <f>(BK348/12*2*$E348*$G348*$H348*$N348)+(BK348/12*10*$F348*$G348*$I348*$N348)</f>
        <v>0</v>
      </c>
      <c r="BM348" s="123"/>
      <c r="BN348" s="123"/>
      <c r="BO348" s="123"/>
      <c r="BP348" s="123">
        <f>(BO348/12*2*$E348*$G348*$H348*$M348)+(BO348/12*10*$F348*$G348*$I348*$M348)</f>
        <v>0</v>
      </c>
      <c r="BQ348" s="123"/>
      <c r="BR348" s="123">
        <f>(BQ348/12*2*$E348*$G348*$H348*$M348)+(BQ348/12*10*$F348*$G348*$I348*$M348)</f>
        <v>0</v>
      </c>
      <c r="BS348" s="123"/>
      <c r="BT348" s="123">
        <f>(BS348/12*2*$E348*$G348*$H348*$N348)+(BS348/12*10*$F348*$G348*$I348*$N348)</f>
        <v>0</v>
      </c>
      <c r="BU348" s="123"/>
      <c r="BV348" s="123">
        <f>(BU348/12*2*$E348*$G348*$H348*$M348)+(BU348/12*10*$F348*$G348*$I348*$M348)</f>
        <v>0</v>
      </c>
      <c r="BW348" s="123"/>
      <c r="BX348" s="123">
        <f>(BW348/12*2*$E348*$G348*$H348*$M348)+(BW348/12*10*$F348*$G348*$I348*$M348)</f>
        <v>0</v>
      </c>
      <c r="BY348" s="123"/>
      <c r="BZ348" s="123">
        <f>(BY348/12*2*$E348*$G348*$H348*$M348)+(BY348/12*10*$F348*$G348*$I348*$M348)</f>
        <v>0</v>
      </c>
      <c r="CA348" s="123"/>
      <c r="CB348" s="123">
        <f>(CA348/12*2*$E348*$G348*$H348*$M348)+(CA348/12*10*$F348*$G348*$I348*$M348)</f>
        <v>0</v>
      </c>
      <c r="CC348" s="123"/>
      <c r="CD348" s="123">
        <f>(CC348/12*2*$E348*$G348*$H348*$M348)+(CC348/12*10*$F348*$G348*$I348*$M348)</f>
        <v>0</v>
      </c>
      <c r="CE348" s="123"/>
      <c r="CF348" s="123">
        <f>(CE348/12*10*$F348*$G348*$I348*$N348)</f>
        <v>0</v>
      </c>
      <c r="CG348" s="132"/>
      <c r="CH348" s="123">
        <f>(CG348/12*2*$E348*$G348*$H348*$N348)+(CG348/12*10*$F348*$G348*$I348*$N348)</f>
        <v>0</v>
      </c>
      <c r="CI348" s="123"/>
      <c r="CJ348" s="127">
        <f>(CI348*$E348*$G348*$H348*$N348)</f>
        <v>0</v>
      </c>
      <c r="CK348" s="123"/>
      <c r="CL348" s="123">
        <f>(CK348/12*2*$E348*$G348*$H348*$N348)+(CK348/12*10*$F348*$G348*$I348*$N348)</f>
        <v>0</v>
      </c>
      <c r="CM348" s="130"/>
      <c r="CN348" s="123">
        <f>(CM348/12*2*$E348*$G348*$H348*$N348)+(CM348/12*10*$F348*$G348*$I348*$N348)</f>
        <v>0</v>
      </c>
      <c r="CO348" s="123"/>
      <c r="CP348" s="123">
        <f>(CO348/12*2*$E348*$G348*$H348*$N348)+(CO348/12*10*$F348*$G348*$I348*$N348)</f>
        <v>0</v>
      </c>
      <c r="CQ348" s="123"/>
      <c r="CR348" s="123">
        <f>(CQ348/12*2*$E348*$G348*$H348*$O348)+(CQ348/12*10*$F348*$G348*$I348*$O348)</f>
        <v>0</v>
      </c>
      <c r="CS348" s="123"/>
      <c r="CT348" s="127">
        <f>(CS348/12*2*$E348*$G348*$H348*$P348)+(CS348/12*10*$F348*$G348*$I348*$P348)</f>
        <v>0</v>
      </c>
      <c r="CU348" s="127"/>
      <c r="CV348" s="127"/>
      <c r="CW348" s="126">
        <f t="shared" si="506"/>
        <v>62</v>
      </c>
      <c r="CX348" s="126">
        <f t="shared" si="506"/>
        <v>5999501.2164266678</v>
      </c>
    </row>
    <row r="349" spans="1:102" ht="45" customHeight="1" x14ac:dyDescent="0.25">
      <c r="A349" s="91"/>
      <c r="B349" s="116">
        <v>279</v>
      </c>
      <c r="C349" s="117" t="s">
        <v>816</v>
      </c>
      <c r="D349" s="161" t="s">
        <v>817</v>
      </c>
      <c r="E349" s="95">
        <v>28004</v>
      </c>
      <c r="F349" s="96">
        <v>29405</v>
      </c>
      <c r="G349" s="119">
        <v>4.12</v>
      </c>
      <c r="H349" s="110">
        <v>0.95</v>
      </c>
      <c r="I349" s="110">
        <v>0.9</v>
      </c>
      <c r="J349" s="203"/>
      <c r="K349" s="203"/>
      <c r="L349" s="63"/>
      <c r="M349" s="120">
        <v>1.4</v>
      </c>
      <c r="N349" s="120">
        <v>1.68</v>
      </c>
      <c r="O349" s="120">
        <v>2.23</v>
      </c>
      <c r="P349" s="121">
        <v>2.57</v>
      </c>
      <c r="Q349" s="122">
        <v>57</v>
      </c>
      <c r="R349" s="123">
        <f>(Q349/12*2*$E349*$G349*$H349*$M349)+(Q349/12*10*$F349*$G349*$I349*$M349)</f>
        <v>8708525.5348000005</v>
      </c>
      <c r="S349" s="124"/>
      <c r="T349" s="125">
        <f>(S349/12*2*$E349*$G349*$H349*$M349)+(S349/12*10*$F349*$G349*$I349*$M349)</f>
        <v>0</v>
      </c>
      <c r="U349" s="123">
        <v>5</v>
      </c>
      <c r="V349" s="123">
        <f>(U349/12*2*$E349*$G349*$H349*$M349)+(U349/12*10*$F349*$G349*$I349*$M349)</f>
        <v>763905.74866666668</v>
      </c>
      <c r="W349" s="123"/>
      <c r="X349" s="123">
        <f>(W349/12*2*$E349*$G349*$H349*$M349)+(W349/12*10*$F349*$G349*$I349*$M349)</f>
        <v>0</v>
      </c>
      <c r="Y349" s="123">
        <v>38</v>
      </c>
      <c r="Z349" s="123">
        <f>(Y349/12*2*$E349*$G349*$H349*$M349)+(Y349/12*10*$F349*$G349*$I349*$M349)</f>
        <v>5805683.6898666658</v>
      </c>
      <c r="AA349" s="123"/>
      <c r="AB349" s="123">
        <f>(AA349*$E349*$G349*$H349*$M349)/12*2+(AA349*$F349*$G349*$I349*$M349)/12*10</f>
        <v>0</v>
      </c>
      <c r="AC349" s="123"/>
      <c r="AD349" s="123"/>
      <c r="AE349" s="123"/>
      <c r="AF349" s="123">
        <f>(AE349/12*2*$E349*$G349*$H349*$M349)+(AE349/12*10*$F349*$G349*$I349*$M349)</f>
        <v>0</v>
      </c>
      <c r="AG349" s="123">
        <v>0</v>
      </c>
      <c r="AH349" s="123">
        <f>(AG349/12*2*$E349*$G349*$H349*$M349)+(AG349/12*10*$F349*$G349*$I349*$M349)</f>
        <v>0</v>
      </c>
      <c r="AI349" s="123"/>
      <c r="AJ349" s="123">
        <f>(AI349/12*2*$E349*$G349*$H349*$M349)+(AI349/12*10*$F349*$G349*$I349*$M349)</f>
        <v>0</v>
      </c>
      <c r="AK349" s="123"/>
      <c r="AL349" s="126">
        <f>(AK349/12*2*$E349*$G349*$H349*$N349)+(AK349/12*10*$F349*$G349*$I349*$N349)</f>
        <v>0</v>
      </c>
      <c r="AM349" s="132"/>
      <c r="AN349" s="123">
        <f>(AM349/12*2*$E349*$G349*$H349*$N349)+(AM349/12*10*$F349*$G349*$I349*$N349)</f>
        <v>0</v>
      </c>
      <c r="AO349" s="130"/>
      <c r="AP349" s="123">
        <f>(AO349/12*2*$E349*$G349*$H349*$N349)+(AO349/12*10*$F349*$G349*$I349*$N349)</f>
        <v>0</v>
      </c>
      <c r="AQ349" s="123">
        <v>0</v>
      </c>
      <c r="AR349" s="123">
        <v>0</v>
      </c>
      <c r="AS349" s="123"/>
      <c r="AT349" s="123">
        <f>(AS349*$E349*$G349*$H349*$M349)/12*3+(AS349*$F349*$G349*$I349*$M349)/12*9</f>
        <v>0</v>
      </c>
      <c r="AU349" s="123"/>
      <c r="AV349" s="123"/>
      <c r="AW349" s="123"/>
      <c r="AX349" s="123">
        <f>(AW349/12*2*$E349*$G349*$H349*$M349)+(AW349/12*10*$F349*$G349*$I349*$M349)</f>
        <v>0</v>
      </c>
      <c r="AY349" s="123">
        <v>0</v>
      </c>
      <c r="AZ349" s="123">
        <f>(AY349/12*2*$E349*$G349*$H349*$N349)+(AY349/12*10*$F349*$G349*$I349*$N349)</f>
        <v>0</v>
      </c>
      <c r="BA349" s="123"/>
      <c r="BB349" s="123">
        <f>(BA349/12*2*$E349*$G349*$H349*$N349)+(BA349/12*10*$F349*$G349*$I349*$N349)</f>
        <v>0</v>
      </c>
      <c r="BC349" s="123"/>
      <c r="BD349" s="123">
        <f>(BC349/12*2*$E349*$G349*$H349*$N349)+(BC349/12*10*$F349*$G349*$I349*$N349)</f>
        <v>0</v>
      </c>
      <c r="BE349" s="123"/>
      <c r="BF349" s="123">
        <f>(BE349/12*10*$F349*$G349*$I349*$N349)</f>
        <v>0</v>
      </c>
      <c r="BG349" s="123"/>
      <c r="BH349" s="123">
        <f>(BG349/12*2*$E349*$G349*$H349*$N349)+(BG349/12*10*$F349*$G349*$I349*$N349)</f>
        <v>0</v>
      </c>
      <c r="BI349" s="123"/>
      <c r="BJ349" s="123">
        <f>(BI349/12*2*$E349*$G349*$H349*$N349)+(BI349/12*10*$F349*$G349*$I349*$N349)</f>
        <v>0</v>
      </c>
      <c r="BK349" s="123"/>
      <c r="BL349" s="123">
        <f>(BK349/12*2*$E349*$G349*$H349*$N349)+(BK349/12*10*$F349*$G349*$I349*$N349)</f>
        <v>0</v>
      </c>
      <c r="BM349" s="123"/>
      <c r="BN349" s="123"/>
      <c r="BO349" s="123"/>
      <c r="BP349" s="123">
        <f>(BO349/12*2*$E349*$G349*$H349*$M349)+(BO349/12*10*$F349*$G349*$I349*$M349)</f>
        <v>0</v>
      </c>
      <c r="BQ349" s="123"/>
      <c r="BR349" s="123">
        <f>(BQ349/12*2*$E349*$G349*$H349*$M349)+(BQ349/12*10*$F349*$G349*$I349*$M349)</f>
        <v>0</v>
      </c>
      <c r="BS349" s="123"/>
      <c r="BT349" s="123">
        <f>(BS349/12*2*$E349*$G349*$H349*$N349)+(BS349/12*10*$F349*$G349*$I349*$N349)</f>
        <v>0</v>
      </c>
      <c r="BU349" s="123"/>
      <c r="BV349" s="123">
        <f>(BU349/12*2*$E349*$G349*$H349*$M349)+(BU349/12*10*$F349*$G349*$I349*$M349)</f>
        <v>0</v>
      </c>
      <c r="BW349" s="123"/>
      <c r="BX349" s="123">
        <f>(BW349/12*2*$E349*$G349*$H349*$M349)+(BW349/12*10*$F349*$G349*$I349*$M349)</f>
        <v>0</v>
      </c>
      <c r="BY349" s="123"/>
      <c r="BZ349" s="123">
        <f>(BY349/12*2*$E349*$G349*$H349*$M349)+(BY349/12*10*$F349*$G349*$I349*$M349)</f>
        <v>0</v>
      </c>
      <c r="CA349" s="123"/>
      <c r="CB349" s="123">
        <f>(CA349/12*2*$E349*$G349*$H349*$M349)+(CA349/12*10*$F349*$G349*$I349*$M349)</f>
        <v>0</v>
      </c>
      <c r="CC349" s="123"/>
      <c r="CD349" s="123">
        <f>(CC349/12*2*$E349*$G349*$H349*$M349)+(CC349/12*10*$F349*$G349*$I349*$M349)</f>
        <v>0</v>
      </c>
      <c r="CE349" s="123"/>
      <c r="CF349" s="123">
        <f>(CE349/12*10*$F349*$G349*$I349*$N349)</f>
        <v>0</v>
      </c>
      <c r="CG349" s="132"/>
      <c r="CH349" s="123">
        <f>(CG349/12*2*$E349*$G349*$H349*$N349)+(CG349/12*10*$F349*$G349*$I349*$N349)</f>
        <v>0</v>
      </c>
      <c r="CI349" s="123"/>
      <c r="CJ349" s="127">
        <f>(CI349*$E349*$G349*$H349*$N349)</f>
        <v>0</v>
      </c>
      <c r="CK349" s="123"/>
      <c r="CL349" s="123">
        <f>(CK349/12*2*$E349*$G349*$H349*$N349)+(CK349/12*10*$F349*$G349*$I349*$N349)</f>
        <v>0</v>
      </c>
      <c r="CM349" s="130"/>
      <c r="CN349" s="123">
        <f>(CM349/12*2*$E349*$G349*$H349*$N349)+(CM349/12*10*$F349*$G349*$I349*$N349)</f>
        <v>0</v>
      </c>
      <c r="CO349" s="123"/>
      <c r="CP349" s="123">
        <f>(CO349/12*2*$E349*$G349*$H349*$N349)+(CO349/12*10*$F349*$G349*$I349*$N349)</f>
        <v>0</v>
      </c>
      <c r="CQ349" s="123"/>
      <c r="CR349" s="123">
        <f>(CQ349/12*2*$E349*$G349*$H349*$O349)+(CQ349/12*10*$F349*$G349*$I349*$O349)</f>
        <v>0</v>
      </c>
      <c r="CS349" s="123"/>
      <c r="CT349" s="127">
        <f>(CS349/12*2*$E349*$G349*$H349*$P349)+(CS349/12*10*$F349*$G349*$I349*$P349)</f>
        <v>0</v>
      </c>
      <c r="CU349" s="127"/>
      <c r="CV349" s="127"/>
      <c r="CW349" s="126">
        <f t="shared" si="506"/>
        <v>100</v>
      </c>
      <c r="CX349" s="126">
        <f t="shared" si="506"/>
        <v>15278114.973333333</v>
      </c>
    </row>
    <row r="350" spans="1:102" ht="15.75" customHeight="1" x14ac:dyDescent="0.25">
      <c r="A350" s="109">
        <v>29</v>
      </c>
      <c r="B350" s="150"/>
      <c r="C350" s="93" t="s">
        <v>818</v>
      </c>
      <c r="D350" s="164" t="s">
        <v>819</v>
      </c>
      <c r="E350" s="95">
        <v>28004</v>
      </c>
      <c r="F350" s="96">
        <v>29405</v>
      </c>
      <c r="G350" s="151">
        <v>1.37</v>
      </c>
      <c r="H350" s="166"/>
      <c r="I350" s="108"/>
      <c r="J350" s="108"/>
      <c r="K350" s="108"/>
      <c r="L350" s="111"/>
      <c r="M350" s="112">
        <v>1.4</v>
      </c>
      <c r="N350" s="112">
        <v>1.68</v>
      </c>
      <c r="O350" s="112">
        <v>2.23</v>
      </c>
      <c r="P350" s="113">
        <v>2.57</v>
      </c>
      <c r="Q350" s="103">
        <f>SUM(Q351:Q363)</f>
        <v>1240</v>
      </c>
      <c r="R350" s="104">
        <f>SUM(R351:R363)</f>
        <v>91814180.886341661</v>
      </c>
      <c r="S350" s="114">
        <f t="shared" ref="S350:CD350" si="507">SUM(S351:S363)</f>
        <v>3757</v>
      </c>
      <c r="T350" s="115">
        <f t="shared" si="507"/>
        <v>323509286.99973333</v>
      </c>
      <c r="U350" s="104">
        <f t="shared" si="507"/>
        <v>1174</v>
      </c>
      <c r="V350" s="104">
        <f t="shared" si="507"/>
        <v>70650489.473491654</v>
      </c>
      <c r="W350" s="104">
        <f t="shared" si="507"/>
        <v>0</v>
      </c>
      <c r="X350" s="104">
        <f t="shared" si="507"/>
        <v>0</v>
      </c>
      <c r="Y350" s="104">
        <f t="shared" si="507"/>
        <v>0</v>
      </c>
      <c r="Z350" s="104">
        <f t="shared" si="507"/>
        <v>0</v>
      </c>
      <c r="AA350" s="104">
        <f t="shared" si="507"/>
        <v>0</v>
      </c>
      <c r="AB350" s="104">
        <f t="shared" si="507"/>
        <v>0</v>
      </c>
      <c r="AC350" s="104">
        <f t="shared" si="507"/>
        <v>0</v>
      </c>
      <c r="AD350" s="104">
        <f t="shared" si="507"/>
        <v>0</v>
      </c>
      <c r="AE350" s="104">
        <f t="shared" si="507"/>
        <v>100</v>
      </c>
      <c r="AF350" s="105">
        <f t="shared" si="507"/>
        <v>5679669.6535250004</v>
      </c>
      <c r="AG350" s="104">
        <f t="shared" si="507"/>
        <v>29</v>
      </c>
      <c r="AH350" s="104">
        <f t="shared" si="507"/>
        <v>1568056.8628083335</v>
      </c>
      <c r="AI350" s="106">
        <f t="shared" si="507"/>
        <v>133</v>
      </c>
      <c r="AJ350" s="104">
        <f t="shared" si="507"/>
        <v>8200509.3163116686</v>
      </c>
      <c r="AK350" s="104">
        <f t="shared" si="507"/>
        <v>1682</v>
      </c>
      <c r="AL350" s="104">
        <f t="shared" si="507"/>
        <v>149260413.86242002</v>
      </c>
      <c r="AM350" s="104">
        <f t="shared" si="507"/>
        <v>2</v>
      </c>
      <c r="AN350" s="104">
        <f t="shared" si="507"/>
        <v>103918.620918</v>
      </c>
      <c r="AO350" s="106">
        <f t="shared" si="507"/>
        <v>3</v>
      </c>
      <c r="AP350" s="104">
        <f t="shared" si="507"/>
        <v>155182.82555999997</v>
      </c>
      <c r="AQ350" s="104">
        <v>8</v>
      </c>
      <c r="AR350" s="104">
        <v>332406.56</v>
      </c>
      <c r="AS350" s="104">
        <f t="shared" si="507"/>
        <v>0</v>
      </c>
      <c r="AT350" s="104">
        <f t="shared" si="507"/>
        <v>0</v>
      </c>
      <c r="AU350" s="104">
        <f t="shared" si="507"/>
        <v>0</v>
      </c>
      <c r="AV350" s="104">
        <f t="shared" si="507"/>
        <v>0</v>
      </c>
      <c r="AW350" s="104">
        <f t="shared" si="507"/>
        <v>0</v>
      </c>
      <c r="AX350" s="104">
        <f t="shared" si="507"/>
        <v>0</v>
      </c>
      <c r="AY350" s="104">
        <f t="shared" si="507"/>
        <v>993</v>
      </c>
      <c r="AZ350" s="104">
        <f t="shared" si="507"/>
        <v>76865217.612470001</v>
      </c>
      <c r="BA350" s="104">
        <f t="shared" si="507"/>
        <v>0</v>
      </c>
      <c r="BB350" s="104">
        <f t="shared" si="507"/>
        <v>0</v>
      </c>
      <c r="BC350" s="104">
        <f t="shared" si="507"/>
        <v>0</v>
      </c>
      <c r="BD350" s="104">
        <f t="shared" si="507"/>
        <v>0</v>
      </c>
      <c r="BE350" s="104">
        <f t="shared" si="507"/>
        <v>120</v>
      </c>
      <c r="BF350" s="104">
        <f t="shared" si="507"/>
        <v>5505221.7429999998</v>
      </c>
      <c r="BG350" s="104">
        <f t="shared" si="507"/>
        <v>13</v>
      </c>
      <c r="BH350" s="104">
        <f t="shared" si="507"/>
        <v>521446.39679999999</v>
      </c>
      <c r="BI350" s="104">
        <f t="shared" si="507"/>
        <v>80</v>
      </c>
      <c r="BJ350" s="104">
        <f t="shared" si="507"/>
        <v>4717538.426496</v>
      </c>
      <c r="BK350" s="104">
        <f t="shared" si="507"/>
        <v>218</v>
      </c>
      <c r="BL350" s="104">
        <f t="shared" si="507"/>
        <v>12058370.177000001</v>
      </c>
      <c r="BM350" s="104">
        <f t="shared" si="507"/>
        <v>0</v>
      </c>
      <c r="BN350" s="104">
        <f t="shared" si="507"/>
        <v>0</v>
      </c>
      <c r="BO350" s="104">
        <f t="shared" si="507"/>
        <v>0</v>
      </c>
      <c r="BP350" s="104">
        <f t="shared" si="507"/>
        <v>0</v>
      </c>
      <c r="BQ350" s="104">
        <f t="shared" si="507"/>
        <v>0</v>
      </c>
      <c r="BR350" s="104">
        <f t="shared" si="507"/>
        <v>0</v>
      </c>
      <c r="BS350" s="104">
        <f t="shared" si="507"/>
        <v>16</v>
      </c>
      <c r="BT350" s="104">
        <f t="shared" si="507"/>
        <v>839896.17194000003</v>
      </c>
      <c r="BU350" s="104">
        <f t="shared" si="507"/>
        <v>0</v>
      </c>
      <c r="BV350" s="104">
        <f t="shared" si="507"/>
        <v>0</v>
      </c>
      <c r="BW350" s="104">
        <f t="shared" si="507"/>
        <v>0</v>
      </c>
      <c r="BX350" s="104">
        <f t="shared" si="507"/>
        <v>0</v>
      </c>
      <c r="BY350" s="104">
        <f t="shared" si="507"/>
        <v>38</v>
      </c>
      <c r="BZ350" s="104">
        <f t="shared" si="507"/>
        <v>1582297.2323666667</v>
      </c>
      <c r="CA350" s="104">
        <f>SUM(CA351:CA363)</f>
        <v>88</v>
      </c>
      <c r="CB350" s="104">
        <f t="shared" si="507"/>
        <v>3852097.72542</v>
      </c>
      <c r="CC350" s="104">
        <f t="shared" si="507"/>
        <v>65</v>
      </c>
      <c r="CD350" s="104">
        <f t="shared" si="507"/>
        <v>2865409.7551333336</v>
      </c>
      <c r="CE350" s="104">
        <f t="shared" ref="CE350:CX350" si="508">SUM(CE351:CE363)</f>
        <v>67</v>
      </c>
      <c r="CF350" s="104">
        <f t="shared" si="508"/>
        <v>3312873.1579999998</v>
      </c>
      <c r="CG350" s="104">
        <f t="shared" si="508"/>
        <v>0</v>
      </c>
      <c r="CH350" s="104">
        <f t="shared" si="508"/>
        <v>0</v>
      </c>
      <c r="CI350" s="104">
        <f t="shared" si="508"/>
        <v>15</v>
      </c>
      <c r="CJ350" s="104">
        <f t="shared" si="508"/>
        <v>1271545.7124999999</v>
      </c>
      <c r="CK350" s="104">
        <f t="shared" si="508"/>
        <v>0</v>
      </c>
      <c r="CL350" s="104">
        <f t="shared" si="508"/>
        <v>0</v>
      </c>
      <c r="CM350" s="104">
        <f t="shared" si="508"/>
        <v>12</v>
      </c>
      <c r="CN350" s="104">
        <f t="shared" si="508"/>
        <v>381847.73424000002</v>
      </c>
      <c r="CO350" s="104">
        <f t="shared" si="508"/>
        <v>22</v>
      </c>
      <c r="CP350" s="104">
        <f t="shared" si="508"/>
        <v>393432.5</v>
      </c>
      <c r="CQ350" s="104">
        <f t="shared" si="508"/>
        <v>14</v>
      </c>
      <c r="CR350" s="104">
        <f t="shared" si="508"/>
        <v>591977.24950000003</v>
      </c>
      <c r="CS350" s="104">
        <f t="shared" si="508"/>
        <v>34</v>
      </c>
      <c r="CT350" s="104">
        <f t="shared" si="508"/>
        <v>2728313.0273575</v>
      </c>
      <c r="CU350" s="104">
        <f t="shared" si="508"/>
        <v>0</v>
      </c>
      <c r="CV350" s="104">
        <f t="shared" si="508"/>
        <v>0</v>
      </c>
      <c r="CW350" s="104">
        <f t="shared" si="508"/>
        <v>9923</v>
      </c>
      <c r="CX350" s="104">
        <f t="shared" si="508"/>
        <v>768761599.68333316</v>
      </c>
    </row>
    <row r="351" spans="1:102" ht="30" customHeight="1" x14ac:dyDescent="0.25">
      <c r="A351" s="91"/>
      <c r="B351" s="116">
        <v>280</v>
      </c>
      <c r="C351" s="117" t="s">
        <v>820</v>
      </c>
      <c r="D351" s="161" t="s">
        <v>821</v>
      </c>
      <c r="E351" s="95">
        <v>28004</v>
      </c>
      <c r="F351" s="96">
        <v>29405</v>
      </c>
      <c r="G351" s="119">
        <v>0.99</v>
      </c>
      <c r="H351" s="107">
        <v>1</v>
      </c>
      <c r="I351" s="108"/>
      <c r="J351" s="108"/>
      <c r="K351" s="108"/>
      <c r="L351" s="63"/>
      <c r="M351" s="120">
        <v>1.4</v>
      </c>
      <c r="N351" s="120">
        <v>1.68</v>
      </c>
      <c r="O351" s="120">
        <v>2.23</v>
      </c>
      <c r="P351" s="121">
        <v>2.57</v>
      </c>
      <c r="Q351" s="122">
        <v>4</v>
      </c>
      <c r="R351" s="123">
        <f>(Q351/12*2*$E351*$G351*$H351*$M351*$R$11)+(Q351/12*10*$F351*$G351*$H351*$M351*$R$11)</f>
        <v>177899.47560000001</v>
      </c>
      <c r="S351" s="124">
        <v>8</v>
      </c>
      <c r="T351" s="125">
        <f>(S351/12*2*$E351*$G351*$H351*$M351*$R$11)+(S351/12*10*$F351*$G351*$H351*$M351*$R$11)</f>
        <v>355798.95120000001</v>
      </c>
      <c r="U351" s="123">
        <v>119</v>
      </c>
      <c r="V351" s="123">
        <f>(U351/12*2*$E351*$G351*$H351*$M351*$V$11)+(U351/12*10*$F351*$G351*$H351*$M351*$V$12)</f>
        <v>6453011.1376499981</v>
      </c>
      <c r="W351" s="123"/>
      <c r="X351" s="126">
        <f>(W351/12*2*$E351*$G351*$H351*$M351*$X$11)+(W351/12*10*$F351*$G351*$H351*$M351*$X$12)</f>
        <v>0</v>
      </c>
      <c r="Y351" s="123"/>
      <c r="Z351" s="123">
        <f>(Y351/12*2*$E351*$G351*$H351*$M351*$Z$11)+(Y351/12*10*$F351*$G351*$H351*$M351*$Z$12)</f>
        <v>0</v>
      </c>
      <c r="AA351" s="123"/>
      <c r="AB351" s="123">
        <f>(AA351/12*2*$E351*$G351*$H351*$M351*$AB$11)+(AA351/12*10*$F351*$G351*$H351*$M351*$AB$11)</f>
        <v>0</v>
      </c>
      <c r="AC351" s="123"/>
      <c r="AD351" s="123"/>
      <c r="AE351" s="123"/>
      <c r="AF351" s="123">
        <f>(AE351/12*2*$E351*$G351*$H351*$M351*$AF$11)+(AE351/12*10*$F351*$G351*$H351*$M351*$AF$11)</f>
        <v>0</v>
      </c>
      <c r="AG351" s="135">
        <v>0</v>
      </c>
      <c r="AH351" s="136">
        <f>(AG351/12*2*$E351*$G351*$H351*$M351*$AH$11)+(AG351/12*10*$F351*$G351*$H351*$M351*$AH$11)</f>
        <v>0</v>
      </c>
      <c r="AI351" s="123"/>
      <c r="AJ351" s="123">
        <f>(AI351/12*2*$E351*$G351*$H351*$M351*$AJ$11)+(AI351/12*5*$F351*$G351*$H351*$M351*$AJ$12)+(AI351/12*5*$F351*$G351*$H351*$M351*$AJ$13)</f>
        <v>0</v>
      </c>
      <c r="AK351" s="123">
        <f>30-10</f>
        <v>20</v>
      </c>
      <c r="AL351" s="123">
        <f>(AK351/12*2*$E351*$G351*$H351*$N351*$AL$11)+(AK351/12*5*$F351*$G351*$H351*$N351*$AL$12)++(AK351/12*5*$F351*$G351*$H351*$N351*$AL$13)</f>
        <v>1253317.9428000001</v>
      </c>
      <c r="AM351" s="129"/>
      <c r="AN351" s="123">
        <f>(AM351/12*2*$E351*$G351*$H351*$N351*$AN$11)+(AM351/12*10*$F351*$G351*$H351*$N351*$AN$12)</f>
        <v>0</v>
      </c>
      <c r="AO351" s="130">
        <v>1</v>
      </c>
      <c r="AP351" s="127">
        <f>(AO351/12*2*$E351*$G351*$H351*$N351*$AP$11)+(AO351/12*10*$F351*$G351*$H351*$N351*$AP$11)</f>
        <v>53369.842680000002</v>
      </c>
      <c r="AQ351" s="127">
        <v>0</v>
      </c>
      <c r="AR351" s="127">
        <v>0</v>
      </c>
      <c r="AS351" s="123"/>
      <c r="AT351" s="123">
        <f>(AS351/12*2*$E351*$G351*$H351*$M351*$AT$11)+(AS351/12*10*$F351*$G351*$H351*$M351*$AT$11)</f>
        <v>0</v>
      </c>
      <c r="AU351" s="123"/>
      <c r="AV351" s="126">
        <f>(AU351/12*2*$E351*$G351*$H351*$M351*$AV$11)+(AU351/12*10*$F351*$G351*$H351*$M351*$AV$12)</f>
        <v>0</v>
      </c>
      <c r="AW351" s="123"/>
      <c r="AX351" s="123">
        <f>(AW351/12*2*$E351*$G351*$H351*$M351*$AX$11)+(AW351/12*10*$F351*$G351*$H351*$M351*$AX$12)</f>
        <v>0</v>
      </c>
      <c r="AY351" s="123">
        <v>0</v>
      </c>
      <c r="AZ351" s="123">
        <f>(AY351/12*2*$E351*$G351*$H351*$N351*$AZ$11)+(AY351/12*10*$F351*$G351*$H351*$N351*$AZ$11)</f>
        <v>0</v>
      </c>
      <c r="BA351" s="123"/>
      <c r="BB351" s="123">
        <f>(BA351/12*2*$E351*$G351*$H351*$N351*$BB$11)+(BA351/12*10*$F351*$G351*$H351*$N351*$BB$12)</f>
        <v>0</v>
      </c>
      <c r="BC351" s="123"/>
      <c r="BD351" s="126">
        <f>(BC351/12*2*$E351*$G351*$H351*$N351*$BD$11)+(BC351/12*10*$F351*$G351*$H351*$N351*$BD$12)</f>
        <v>0</v>
      </c>
      <c r="BE351" s="123"/>
      <c r="BF351" s="123">
        <f>(BE351/12*10*$F351*$G351*$H351*$N351*$BF$12)</f>
        <v>0</v>
      </c>
      <c r="BG351" s="123"/>
      <c r="BH351" s="123">
        <f>(BG351/12*2*$E351*$G351*$H351*$N351*$BH$11)+(BG351/12*10*$F351*$G351*$H351*$N351*$BH$11)</f>
        <v>0</v>
      </c>
      <c r="BI351" s="123"/>
      <c r="BJ351" s="126">
        <f>(BI351/12*2*$E351*$G351*$H351*$N351*$BJ$11)+(BI351/12*10*$F351*$G351*$H351*$N351*$BJ$11)</f>
        <v>0</v>
      </c>
      <c r="BK351" s="123"/>
      <c r="BL351" s="127">
        <f>(BK351/12*2*$E351*$G351*$H351*$N351*$BL$11)+(BK351/12*10*$F351*$G351*$H351*$N351*$BL$11)</f>
        <v>0</v>
      </c>
      <c r="BM351" s="123"/>
      <c r="BN351" s="123">
        <f>(BM351/12*2*$E351*$G351*$H351*$M351*$BN$11)+(BM351/12*10*$F351*$G351*$H351*$M351*$BN$11)</f>
        <v>0</v>
      </c>
      <c r="BO351" s="123"/>
      <c r="BP351" s="123">
        <f>(BO351/12*2*$E351*$G351*$H351*$M351*$BP$11)+(BO351/12*10*$F351*$G351*$H351*$M351*$BP$12)</f>
        <v>0</v>
      </c>
      <c r="BQ351" s="123"/>
      <c r="BR351" s="123">
        <f>(BQ351/12*2*$E351*$G351*$H351*$M351*$BR$11)+(BQ351/12*10*$F351*$G351*$H351*$M351*$BR$11)</f>
        <v>0</v>
      </c>
      <c r="BS351" s="123">
        <v>1</v>
      </c>
      <c r="BT351" s="123">
        <f>(BS351/12*2*$E351*$G351*$H351*$N351*$BT$11)+(BS351/12*10*$F351*$G351*$H351*$N351*$BT$11)</f>
        <v>48518.038799999995</v>
      </c>
      <c r="BU351" s="123"/>
      <c r="BV351" s="126">
        <f>(BU351/12*2*$E351*$G351*$H351*$M351*$BV$11)+(BU351/12*10*$F351*$G351*$H351*$M351*$BV$11)</f>
        <v>0</v>
      </c>
      <c r="BW351" s="123"/>
      <c r="BX351" s="123">
        <f>(BW351/12*2*$E351*$G351*$H351*$M351*$BX$11)+(BW351/12*10*$F351*$G351*$H351*$M351*$BX$11)</f>
        <v>0</v>
      </c>
      <c r="BY351" s="123"/>
      <c r="BZ351" s="123">
        <f>(BY351/12*2*$E351*$G351*$H351*$M351*$BZ$11)+(BY351/12*10*$F351*$G351*$H351*$M351*$BZ$11)</f>
        <v>0</v>
      </c>
      <c r="CA351" s="123"/>
      <c r="CB351" s="123">
        <f>(CA351/12*2*$E351*$G351*$H351*$M351*$CB$11)+(CA351/12*10*$F351*$G351*$H351*$M351*$CB$11)</f>
        <v>0</v>
      </c>
      <c r="CC351" s="123"/>
      <c r="CD351" s="123">
        <f>(CC351/12*2*$E351*$G351*$H351*$M351*$CD$11)+(CC351/12*10*$F351*$G351*$H351*$M351*$CD$11)</f>
        <v>0</v>
      </c>
      <c r="CE351" s="123"/>
      <c r="CF351" s="123">
        <f>(CE351/12*10*$F351*$G351*$H351*$N351*$CF$11)</f>
        <v>0</v>
      </c>
      <c r="CG351" s="132"/>
      <c r="CH351" s="123">
        <f>(CG351/12*2*$E351*$G351*$H351*$N351*$CH$11)+(CG351/12*10*$F351*$G351*$H351*$N351*$CH$11)</f>
        <v>0</v>
      </c>
      <c r="CI351" s="123"/>
      <c r="CJ351" s="127"/>
      <c r="CK351" s="123"/>
      <c r="CL351" s="123">
        <f>(CK351/12*2*$E351*$G351*$H351*$N351*$CL$11)+(CK351/12*10*$F351*$G351*$H351*$N351*$CL$12)</f>
        <v>0</v>
      </c>
      <c r="CM351" s="130"/>
      <c r="CN351" s="123">
        <f>(CM351/12*2*$E351*$G351*$H351*$N351*$CN$11)+(CM351/12*10*$F351*$G351*$H351*$N351*$CN$11)</f>
        <v>0</v>
      </c>
      <c r="CO351" s="123"/>
      <c r="CP351" s="123">
        <f>(CO351/12*2*$E351*$G351*$H351*$N351*$CP$11)+(CO351/12*10*$F351*$G351*$H351*$N351*$CP$11)</f>
        <v>0</v>
      </c>
      <c r="CQ351" s="123"/>
      <c r="CR351" s="123">
        <f>(CQ351/12*2*$E351*$G351*$H351*$O351*$CR$11)+(CQ351/12*10*$F351*$G351*$H351*$O351*$CR$11)</f>
        <v>0</v>
      </c>
      <c r="CS351" s="123"/>
      <c r="CT351" s="133">
        <f>(CS351/12*2*$E351*$G351*$H351*$P351*$CT$11)+(CS351/12*10*$F351*$G351*$H351*$P351*$CT$11)</f>
        <v>0</v>
      </c>
      <c r="CU351" s="127"/>
      <c r="CV351" s="123">
        <f>(CU351*$E351*$G351*$H351*$M351*CV$11)/12*6+(CU351*$E351*$G351*$H351*1*CV$11)/12*6</f>
        <v>0</v>
      </c>
      <c r="CW351" s="126">
        <f>SUM(Q351,S351,U351,W351,Y351,AA351,AC351,AE351,AG351,AM351,BQ351,AI351,AU351,CC351,AW351,AY351,AK351,BC351,AO351,AQ351,BE351,CE351,BG351,BI351,BK351,BS351,BM351,BO351,BU351,BW351,BY351,CA351,CG351,BA351,AS351,CI351,CK351,CM351,CO351,CQ351,CS351,CU351)</f>
        <v>153</v>
      </c>
      <c r="CX351" s="126">
        <f>SUM(R351,T351,V351,X351,Z351,AB351,AD351,AF351,AH351,AN351,BR351,AJ351,AV351,CD351,AX351,AZ351,AL351,BD351,AP351,AR351,BF351,CF351,BH351,BJ351,BL351,BT351,BN351,BP351,BV351,BX351,BZ351,CB351,CH351,BB351,AT351,CJ351,CL351,CN351,CP351,CR351,CT351,CV351)</f>
        <v>8341915.3887299979</v>
      </c>
    </row>
    <row r="352" spans="1:102" ht="34.5" customHeight="1" x14ac:dyDescent="0.25">
      <c r="A352" s="91"/>
      <c r="B352" s="116">
        <v>281</v>
      </c>
      <c r="C352" s="117" t="s">
        <v>822</v>
      </c>
      <c r="D352" s="161" t="s">
        <v>823</v>
      </c>
      <c r="E352" s="95">
        <v>28004</v>
      </c>
      <c r="F352" s="96">
        <v>29405</v>
      </c>
      <c r="G352" s="119">
        <v>1.52</v>
      </c>
      <c r="H352" s="107">
        <v>1</v>
      </c>
      <c r="I352" s="108"/>
      <c r="J352" s="108"/>
      <c r="K352" s="108"/>
      <c r="L352" s="63"/>
      <c r="M352" s="120">
        <v>1.4</v>
      </c>
      <c r="N352" s="120">
        <v>1.68</v>
      </c>
      <c r="O352" s="120">
        <v>2.23</v>
      </c>
      <c r="P352" s="121">
        <v>2.57</v>
      </c>
      <c r="Q352" s="122">
        <v>50</v>
      </c>
      <c r="R352" s="123">
        <f>(Q352/12*2*$E352*$G352*$H352*$M352)+(Q352/12*10*$F352*$G352*$H352*$M352)</f>
        <v>3103847.6</v>
      </c>
      <c r="S352" s="124">
        <f>60+16</f>
        <v>76</v>
      </c>
      <c r="T352" s="125">
        <f>(S352/12*2*$E352*$G352*$H352*$M352)+(S352/12*10*$F352*$G352*$H352*$M352)</f>
        <v>4717848.351999999</v>
      </c>
      <c r="U352" s="123">
        <v>6</v>
      </c>
      <c r="V352" s="123">
        <f>(U352/12*2*$E352*$G352*$H352*$M352)+(U352/12*10*$F352*$G352*$H352*$M352)</f>
        <v>372461.71199999994</v>
      </c>
      <c r="W352" s="123"/>
      <c r="X352" s="123">
        <f>(W352/12*2*$E352*$G352*$H352*$M352)+(W352/12*10*$F352*$G352*$H352*$M352)</f>
        <v>0</v>
      </c>
      <c r="Y352" s="123"/>
      <c r="Z352" s="123">
        <f>(Y352/12*2*$E352*$G352*$H352*$M352)+(Y352/12*10*$F352*$G352*$H352*$M352)</f>
        <v>0</v>
      </c>
      <c r="AA352" s="123"/>
      <c r="AB352" s="123">
        <f>(AA352/12*2*$E352*$G352*$H352*$M352)+(AA352/12*10*$F352*$G352*$H352*$M352)</f>
        <v>0</v>
      </c>
      <c r="AC352" s="123"/>
      <c r="AD352" s="123"/>
      <c r="AE352" s="123"/>
      <c r="AF352" s="123">
        <f>(AE352/12*2*$E352*$G352*$H352*$M352)+(AE352/12*10*$F352*$G352*$H352*$M352)</f>
        <v>0</v>
      </c>
      <c r="AG352" s="123">
        <v>0</v>
      </c>
      <c r="AH352" s="123">
        <f>(AG352/12*2*$E352*$G352*$H352*$M352)+(AG352/12*10*$F352*$G352*$H352*$M352)</f>
        <v>0</v>
      </c>
      <c r="AI352" s="123"/>
      <c r="AJ352" s="123">
        <f>(AI352/12*2*$E352*$G352*$H352*$M352)+(AI352/12*10*$F352*$G352*$H352*$M352)</f>
        <v>0</v>
      </c>
      <c r="AK352" s="123">
        <v>70</v>
      </c>
      <c r="AL352" s="126">
        <f>(AK352/12*2*$E352*$G352*$H352*$N352)+(AK352/12*10*$F352*$G352*$H352*$N352)</f>
        <v>5214463.9679999985</v>
      </c>
      <c r="AM352" s="132"/>
      <c r="AN352" s="123">
        <f>(AM352/12*2*$E352*$G352*$H352*$N352)+(AM352/12*10*$F352*$G352*$H352*$N352)</f>
        <v>0</v>
      </c>
      <c r="AO352" s="130"/>
      <c r="AP352" s="123">
        <f>(AO352/12*2*$E352*$G352*$H352*$N352)+(AO352/12*10*$F352*$G352*$H352*$N352)</f>
        <v>0</v>
      </c>
      <c r="AQ352" s="123">
        <v>0</v>
      </c>
      <c r="AR352" s="123">
        <v>0</v>
      </c>
      <c r="AS352" s="123"/>
      <c r="AT352" s="123"/>
      <c r="AU352" s="123"/>
      <c r="AV352" s="123"/>
      <c r="AW352" s="123"/>
      <c r="AX352" s="123">
        <f>(AW352/12*2*$E352*$G352*$H352*$M352)+(AW352/12*10*$F352*$G352*$H352*$M352)</f>
        <v>0</v>
      </c>
      <c r="AY352" s="123">
        <v>72</v>
      </c>
      <c r="AZ352" s="123">
        <f>(AY352/12*2*$E352*$G352*$H352*$N352)+(AY352/12*10*$F352*$G352*$H352*$N352)</f>
        <v>5363448.6527999993</v>
      </c>
      <c r="BA352" s="123"/>
      <c r="BB352" s="123">
        <f>(BA352/12*2*$E352*$G352*$H352*$N352)+(BA352/12*10*$F352*$G352*$H352*$N352)</f>
        <v>0</v>
      </c>
      <c r="BC352" s="123"/>
      <c r="BD352" s="123">
        <f>(BC352/12*2*$E352*$G352*$H352*$N352)+(BC352/12*10*$F352*$G352*$H352*$N352)</f>
        <v>0</v>
      </c>
      <c r="BE352" s="123">
        <v>20</v>
      </c>
      <c r="BF352" s="123">
        <f>(BE352/12*10*$F352*$G352*$H352*$N352)</f>
        <v>1251476.8</v>
      </c>
      <c r="BG352" s="123">
        <v>2</v>
      </c>
      <c r="BH352" s="123">
        <f>(BG352/12*2*$E352*$G352*$H352*$N352)+(BG352/12*10*$F352*$G352*$H352*$N352)</f>
        <v>148984.68479999999</v>
      </c>
      <c r="BI352" s="123">
        <v>10</v>
      </c>
      <c r="BJ352" s="123">
        <f>(BI352/12*2*$E352*$G352*$H352*$N352)+(BI352/12*10*$F352*$G352*$H352*$N352)</f>
        <v>744923.424</v>
      </c>
      <c r="BK352" s="123">
        <v>22</v>
      </c>
      <c r="BL352" s="123">
        <f>(BK352/12*2*$E352*$G352*$H352*$N352)+(BK352/12*10*$F352*$G352*$H352*$N352)</f>
        <v>1638831.5327999997</v>
      </c>
      <c r="BM352" s="123"/>
      <c r="BN352" s="123">
        <f>(BM352/12*2*$E352*$G352*$H352*$M352)+(BM352/12*10*$F352*$G352*$H352*$M352)</f>
        <v>0</v>
      </c>
      <c r="BO352" s="123"/>
      <c r="BP352" s="123">
        <f>(BO352/12*2*$E352*$G352*$H352*$M352)+(BO352/12*10*$F352*$G352*$H352*$M352)</f>
        <v>0</v>
      </c>
      <c r="BQ352" s="123"/>
      <c r="BR352" s="123">
        <f>(BQ352/12*2*$E352*$G352*$H352*$M352)+(BQ352/12*10*$F352*$G352*$H352*$M352)</f>
        <v>0</v>
      </c>
      <c r="BS352" s="123">
        <v>2</v>
      </c>
      <c r="BT352" s="123">
        <f>(BS352/12*2*$E352*$G352*$H352*$N352)+(BS352/12*10*$F352*$G352*$H352*$N352)</f>
        <v>148984.68479999999</v>
      </c>
      <c r="BU352" s="123"/>
      <c r="BV352" s="123">
        <f>(BU352/12*2*$E352*$G352*$H352*$M352)+(BU352/12*10*$F352*$G352*$H352*$M352)</f>
        <v>0</v>
      </c>
      <c r="BW352" s="123"/>
      <c r="BX352" s="123">
        <f>(BW352/12*2*$E352*$G352*$H352*$M352)+(BW352/12*10*$F352*$G352*$H352*$M352)</f>
        <v>0</v>
      </c>
      <c r="BY352" s="123">
        <v>5</v>
      </c>
      <c r="BZ352" s="123">
        <f>(BY352/12*2*$E352*$G352*$H352*$M352)+(BY352/12*10*$F352*$G352*$H352*$M352)</f>
        <v>310384.76</v>
      </c>
      <c r="CA352" s="123">
        <v>15</v>
      </c>
      <c r="CB352" s="123">
        <f>(CA352/12*2*$E352*$G352*$H352*$M352)+(CA352/12*10*$F352*$G352*$H352*$M352)</f>
        <v>931154.28</v>
      </c>
      <c r="CC352" s="123">
        <v>13</v>
      </c>
      <c r="CD352" s="123">
        <f>(CC352/12*2*$E352*$G352*$H352*$M352)+(CC352/12*10*$F352*$G352*$H352*$M352)</f>
        <v>807000.37599999981</v>
      </c>
      <c r="CE352" s="123">
        <v>11</v>
      </c>
      <c r="CF352" s="123">
        <f>(CE352/12*10*$F352*$G352*$H352*$N352)</f>
        <v>688312.23999999987</v>
      </c>
      <c r="CG352" s="132"/>
      <c r="CH352" s="123">
        <f>(CG352/12*2*$E352*$G352*$H352*$N352)+(CG352/12*10*$F352*$G352*$H352*$N352)</f>
        <v>0</v>
      </c>
      <c r="CI352" s="123"/>
      <c r="CJ352" s="127">
        <f>(CI352*$E352*$G352*$H352*$N352)</f>
        <v>0</v>
      </c>
      <c r="CK352" s="123"/>
      <c r="CL352" s="123">
        <f>(CK352/12*2*$E352*$G352*$H352*$N352)+(CK352/12*10*$F352*$G352*$H352*$N352)</f>
        <v>0</v>
      </c>
      <c r="CM352" s="130"/>
      <c r="CN352" s="123">
        <f>(CM352/12*2*$E352*$G352*$H352*$N352)+(CM352/12*10*$F352*$G352*$H352*$N352)</f>
        <v>0</v>
      </c>
      <c r="CO352" s="123">
        <v>5</v>
      </c>
      <c r="CP352" s="123">
        <v>262810.14</v>
      </c>
      <c r="CQ352" s="123"/>
      <c r="CR352" s="123">
        <f>(CQ352/12*2*$E352*$G352*$H352*$O352)+(CQ352/12*10*$F352*$G352*$H352*$O352)</f>
        <v>0</v>
      </c>
      <c r="CS352" s="123">
        <v>2</v>
      </c>
      <c r="CT352" s="127">
        <f>(CS352/12*2*$E352*$G352*$H352*$P352)+(CS352/12*10*$F352*$G352*$H352*$P352)</f>
        <v>227911.09519999995</v>
      </c>
      <c r="CU352" s="127"/>
      <c r="CV352" s="127"/>
      <c r="CW352" s="126">
        <f t="shared" ref="CW352:CX363" si="509">SUM(Q352,S352,U352,W352,Y352,AA352,AC352,AE352,AG352,AM352,BQ352,AI352,AU352,CC352,AW352,AY352,AK352,BC352,AO352,AQ352,BE352,CE352,BG352,BI352,BK352,BS352,BM352,BO352,BU352,BW352,BY352,CA352,CG352,BA352,AS352,CI352,CK352,CM352,CO352,CQ352,CS352,CU352)</f>
        <v>381</v>
      </c>
      <c r="CX352" s="126">
        <f t="shared" si="509"/>
        <v>25932844.302399993</v>
      </c>
    </row>
    <row r="353" spans="1:102" ht="45" x14ac:dyDescent="0.25">
      <c r="A353" s="91"/>
      <c r="B353" s="116">
        <v>282</v>
      </c>
      <c r="C353" s="117" t="s">
        <v>824</v>
      </c>
      <c r="D353" s="161" t="s">
        <v>825</v>
      </c>
      <c r="E353" s="95">
        <v>28004</v>
      </c>
      <c r="F353" s="96">
        <v>29405</v>
      </c>
      <c r="G353" s="119">
        <v>0.69</v>
      </c>
      <c r="H353" s="107">
        <v>1</v>
      </c>
      <c r="I353" s="108"/>
      <c r="J353" s="108"/>
      <c r="K353" s="108"/>
      <c r="L353" s="63"/>
      <c r="M353" s="120">
        <v>1.4</v>
      </c>
      <c r="N353" s="120">
        <v>1.68</v>
      </c>
      <c r="O353" s="120">
        <v>2.23</v>
      </c>
      <c r="P353" s="121">
        <v>2.57</v>
      </c>
      <c r="Q353" s="122">
        <v>0</v>
      </c>
      <c r="R353" s="123">
        <f>(Q353/12*2*$E353*$G353*$H353*$M353)+(Q353/12*10*$F353*$G353*$H353*$M353)</f>
        <v>0</v>
      </c>
      <c r="S353" s="124">
        <v>4</v>
      </c>
      <c r="T353" s="125">
        <f>(S353/12*2*$E353*$G353*$H353*$M353)+(S353/12*10*$F353*$G353*$H353*$M353)</f>
        <v>112718.67599999998</v>
      </c>
      <c r="U353" s="123">
        <v>3</v>
      </c>
      <c r="V353" s="123">
        <f>(U353/12*2*$E353*$G353*$H353*$M353)+(U353/12*10*$F353*$G353*$H353*$M353)</f>
        <v>84539.006999999983</v>
      </c>
      <c r="W353" s="123"/>
      <c r="X353" s="123">
        <f>(W353/12*2*$E353*$G353*$H353*$M353)+(W353/12*10*$F353*$G353*$H353*$M353)</f>
        <v>0</v>
      </c>
      <c r="Y353" s="123"/>
      <c r="Z353" s="123">
        <f>(Y353/12*2*$E353*$G353*$H353*$M353)+(Y353/12*10*$F353*$G353*$H353*$M353)</f>
        <v>0</v>
      </c>
      <c r="AA353" s="123"/>
      <c r="AB353" s="123">
        <f>(AA353/12*2*$E353*$G353*$H353*$M353)+(AA353/12*10*$F353*$G353*$H353*$M353)</f>
        <v>0</v>
      </c>
      <c r="AC353" s="123"/>
      <c r="AD353" s="123"/>
      <c r="AE353" s="123"/>
      <c r="AF353" s="123">
        <f>(AE353/12*2*$E353*$G353*$H353*$M353)+(AE353/12*10*$F353*$G353*$H353*$M353)</f>
        <v>0</v>
      </c>
      <c r="AG353" s="123">
        <v>0</v>
      </c>
      <c r="AH353" s="123">
        <f>(AG353/12*2*$E353*$G353*$H353*$M353)+(AG353/12*10*$F353*$G353*$H353*$M353)</f>
        <v>0</v>
      </c>
      <c r="AI353" s="123"/>
      <c r="AJ353" s="123">
        <f>(AI353/12*2*$E353*$G353*$H353*$M353)+(AI353/12*10*$F353*$G353*$H353*$M353)</f>
        <v>0</v>
      </c>
      <c r="AK353" s="123">
        <v>6</v>
      </c>
      <c r="AL353" s="126">
        <f>(AK353/12*2*$E353*$G353*$H353*$N353)+(AK353/12*10*$F353*$G353*$H353*$N353)</f>
        <v>202893.61679999996</v>
      </c>
      <c r="AM353" s="132"/>
      <c r="AN353" s="123">
        <f>(AM353/12*2*$E353*$G353*$H353*$N353)+(AM353/12*10*$F353*$G353*$H353*$N353)</f>
        <v>0</v>
      </c>
      <c r="AO353" s="130"/>
      <c r="AP353" s="123">
        <f>(AO353/12*2*$E353*$G353*$H353*$N353)+(AO353/12*10*$F353*$G353*$H353*$N353)</f>
        <v>0</v>
      </c>
      <c r="AQ353" s="123">
        <v>0</v>
      </c>
      <c r="AR353" s="123">
        <v>0</v>
      </c>
      <c r="AS353" s="123"/>
      <c r="AT353" s="123"/>
      <c r="AU353" s="123"/>
      <c r="AV353" s="123"/>
      <c r="AW353" s="123"/>
      <c r="AX353" s="123">
        <f>(AW353/12*2*$E353*$G353*$H353*$M353)+(AW353/12*10*$F353*$G353*$H353*$M353)</f>
        <v>0</v>
      </c>
      <c r="AY353" s="123">
        <v>6</v>
      </c>
      <c r="AZ353" s="123">
        <f>(AY353/12*2*$E353*$G353*$H353*$N353)+(AY353/12*10*$F353*$G353*$H353*$N353)</f>
        <v>202893.61679999996</v>
      </c>
      <c r="BA353" s="123"/>
      <c r="BB353" s="123">
        <f>(BA353/12*2*$E353*$G353*$H353*$N353)+(BA353/12*10*$F353*$G353*$H353*$N353)</f>
        <v>0</v>
      </c>
      <c r="BC353" s="123"/>
      <c r="BD353" s="123">
        <f>(BC353/12*2*$E353*$G353*$H353*$N353)+(BC353/12*10*$F353*$G353*$H353*$N353)</f>
        <v>0</v>
      </c>
      <c r="BE353" s="123">
        <v>10</v>
      </c>
      <c r="BF353" s="123">
        <f>(BE353/12*10*$F353*$G353*$H353*$N353)</f>
        <v>284052.3</v>
      </c>
      <c r="BG353" s="123"/>
      <c r="BH353" s="123">
        <f>(BG353/12*2*$E353*$G353*$H353*$N353)+(BG353/12*10*$F353*$G353*$H353*$N353)</f>
        <v>0</v>
      </c>
      <c r="BI353" s="123">
        <v>3</v>
      </c>
      <c r="BJ353" s="123">
        <f>(BI353/12*2*$E353*$G353*$H353*$N353)+(BI353/12*10*$F353*$G353*$H353*$N353)</f>
        <v>101446.80839999998</v>
      </c>
      <c r="BK353" s="123"/>
      <c r="BL353" s="123">
        <f>(BK353/12*2*$E353*$G353*$H353*$N353)+(BK353/12*10*$F353*$G353*$H353*$N353)</f>
        <v>0</v>
      </c>
      <c r="BM353" s="123"/>
      <c r="BN353" s="123">
        <f>(BM353/12*2*$E353*$G353*$H353*$M353)+(BM353/12*10*$F353*$G353*$H353*$M353)</f>
        <v>0</v>
      </c>
      <c r="BO353" s="123"/>
      <c r="BP353" s="123">
        <f>(BO353/12*2*$E353*$G353*$H353*$M353)+(BO353/12*10*$F353*$G353*$H353*$M353)</f>
        <v>0</v>
      </c>
      <c r="BQ353" s="123"/>
      <c r="BR353" s="123">
        <f>(BQ353/12*2*$E353*$G353*$H353*$M353)+(BQ353/12*10*$F353*$G353*$H353*$M353)</f>
        <v>0</v>
      </c>
      <c r="BS353" s="123"/>
      <c r="BT353" s="123">
        <f>(BS353/12*2*$E353*$G353*$H353*$N353)+(BS353/12*10*$F353*$G353*$H353*$N353)</f>
        <v>0</v>
      </c>
      <c r="BU353" s="123"/>
      <c r="BV353" s="123">
        <f>(BU353/12*2*$E353*$G353*$H353*$M353)+(BU353/12*10*$F353*$G353*$H353*$M353)</f>
        <v>0</v>
      </c>
      <c r="BW353" s="123"/>
      <c r="BX353" s="123">
        <f>(BW353/12*2*$E353*$G353*$H353*$M353)+(BW353/12*10*$F353*$G353*$H353*$M353)</f>
        <v>0</v>
      </c>
      <c r="BY353" s="123">
        <v>2</v>
      </c>
      <c r="BZ353" s="123">
        <f>(BY353/12*2*$E353*$G353*$H353*$M353)+(BY353/12*10*$F353*$G353*$H353*$M353)</f>
        <v>56359.337999999989</v>
      </c>
      <c r="CA353" s="123">
        <v>1</v>
      </c>
      <c r="CB353" s="123">
        <f>(CA353/12*2*$E353*$G353*$H353*$M353)+(CA353/12*10*$F353*$G353*$H353*$M353)</f>
        <v>28179.668999999994</v>
      </c>
      <c r="CC353" s="123">
        <v>3</v>
      </c>
      <c r="CD353" s="123">
        <f>(CC353/12*2*$E353*$G353*$H353*$M353)+(CC353/12*10*$F353*$G353*$H353*$M353)</f>
        <v>84539.006999999983</v>
      </c>
      <c r="CE353" s="123">
        <v>3</v>
      </c>
      <c r="CF353" s="123">
        <f>(CE353/12*10*$F353*$G353*$H353*$N353)</f>
        <v>85215.689999999988</v>
      </c>
      <c r="CG353" s="132"/>
      <c r="CH353" s="123">
        <f>(CG353/12*2*$E353*$G353*$H353*$N353)+(CG353/12*10*$F353*$G353*$H353*$N353)</f>
        <v>0</v>
      </c>
      <c r="CI353" s="123"/>
      <c r="CJ353" s="127">
        <f>(CI353*$E353*$G353*$H353*$N353)</f>
        <v>0</v>
      </c>
      <c r="CK353" s="123"/>
      <c r="CL353" s="123">
        <f>(CK353/12*2*$E353*$G353*$H353*$N353)+(CK353/12*10*$F353*$G353*$H353*$N353)</f>
        <v>0</v>
      </c>
      <c r="CM353" s="130"/>
      <c r="CN353" s="123">
        <f>(CM353/12*2*$E353*$G353*$H353*$N353)+(CM353/12*10*$F353*$G353*$H353*$N353)</f>
        <v>0</v>
      </c>
      <c r="CO353" s="123">
        <v>2</v>
      </c>
      <c r="CP353" s="123">
        <v>32462.240000000002</v>
      </c>
      <c r="CQ353" s="123"/>
      <c r="CR353" s="123">
        <f>(CQ353/12*2*$E353*$G353*$H353*$O353)+(CQ353/12*10*$F353*$G353*$H353*$O353)</f>
        <v>0</v>
      </c>
      <c r="CS353" s="123">
        <v>5</v>
      </c>
      <c r="CT353" s="127">
        <f>(CS353/12*2*$E353*$G353*$H353*$P353)+(CS353/12*10*$F353*$G353*$H353*$P353)</f>
        <v>258649.10474999997</v>
      </c>
      <c r="CU353" s="127"/>
      <c r="CV353" s="127"/>
      <c r="CW353" s="126">
        <f t="shared" si="509"/>
        <v>48</v>
      </c>
      <c r="CX353" s="126">
        <f t="shared" si="509"/>
        <v>1533949.0737499997</v>
      </c>
    </row>
    <row r="354" spans="1:102" ht="30" customHeight="1" x14ac:dyDescent="0.25">
      <c r="A354" s="91"/>
      <c r="B354" s="116">
        <v>283</v>
      </c>
      <c r="C354" s="117" t="s">
        <v>826</v>
      </c>
      <c r="D354" s="161" t="s">
        <v>827</v>
      </c>
      <c r="E354" s="95">
        <v>28004</v>
      </c>
      <c r="F354" s="96">
        <v>29405</v>
      </c>
      <c r="G354" s="119">
        <v>0.56000000000000005</v>
      </c>
      <c r="H354" s="107">
        <v>1</v>
      </c>
      <c r="I354" s="108"/>
      <c r="J354" s="108"/>
      <c r="K354" s="108"/>
      <c r="L354" s="63"/>
      <c r="M354" s="120">
        <v>1.4</v>
      </c>
      <c r="N354" s="120">
        <v>1.68</v>
      </c>
      <c r="O354" s="120">
        <v>2.23</v>
      </c>
      <c r="P354" s="121">
        <v>2.57</v>
      </c>
      <c r="Q354" s="122">
        <v>50</v>
      </c>
      <c r="R354" s="123">
        <f>(Q354/12*2*$E354*$G354*$H354*$M354)+(Q354/12*10*$F354*$G354*$H354*$M354)</f>
        <v>1143522.8000000003</v>
      </c>
      <c r="S354" s="124">
        <v>55</v>
      </c>
      <c r="T354" s="125">
        <f>(S354/12*2*$E354*$G354*$H354*$M354)+(S354/12*10*$F354*$G354*$H354*$M354)</f>
        <v>1257875.08</v>
      </c>
      <c r="U354" s="123">
        <v>16</v>
      </c>
      <c r="V354" s="123">
        <f>(U354/12*2*$E354*$G354*$H354*$M354)+(U354/12*10*$F354*$G354*$H354*$M354)</f>
        <v>365927.29599999997</v>
      </c>
      <c r="W354" s="123"/>
      <c r="X354" s="123">
        <f>(W354/12*2*$E354*$G354*$H354*$M354)+(W354/12*10*$F354*$G354*$H354*$M354)</f>
        <v>0</v>
      </c>
      <c r="Y354" s="123"/>
      <c r="Z354" s="123">
        <f>(Y354/12*2*$E354*$G354*$H354*$M354)+(Y354/12*10*$F354*$G354*$H354*$M354)</f>
        <v>0</v>
      </c>
      <c r="AA354" s="123"/>
      <c r="AB354" s="123">
        <f>(AA354/12*2*$E354*$G354*$H354*$M354)+(AA354/12*10*$F354*$G354*$H354*$M354)</f>
        <v>0</v>
      </c>
      <c r="AC354" s="123"/>
      <c r="AD354" s="123"/>
      <c r="AE354" s="123"/>
      <c r="AF354" s="123">
        <f>(AE354/12*2*$E354*$G354*$H354*$M354)+(AE354/12*10*$F354*$G354*$H354*$M354)</f>
        <v>0</v>
      </c>
      <c r="AG354" s="123">
        <v>0</v>
      </c>
      <c r="AH354" s="123">
        <f>(AG354/12*2*$E354*$G354*$H354*$M354)+(AG354/12*10*$F354*$G354*$H354*$M354)</f>
        <v>0</v>
      </c>
      <c r="AI354" s="123"/>
      <c r="AJ354" s="123">
        <f>(AI354/12*2*$E354*$G354*$H354*$M354)+(AI354/12*10*$F354*$G354*$H354*$M354)</f>
        <v>0</v>
      </c>
      <c r="AK354" s="123">
        <v>42</v>
      </c>
      <c r="AL354" s="126">
        <f>(AK354/12*2*$E354*$G354*$H354*$N354)+(AK354/12*10*$F354*$G354*$H354*$N354)</f>
        <v>1152670.9824000001</v>
      </c>
      <c r="AM354" s="132"/>
      <c r="AN354" s="123">
        <f>(AM354/12*2*$E354*$G354*$H354*$N354)+(AM354/12*10*$F354*$G354*$H354*$N354)</f>
        <v>0</v>
      </c>
      <c r="AO354" s="130">
        <v>1</v>
      </c>
      <c r="AP354" s="123">
        <f>(AO354/12*2*$E354*$G354*$H354*$N354)+(AO354/12*10*$F354*$G354*$H354*$N354)</f>
        <v>27444.547200000001</v>
      </c>
      <c r="AQ354" s="123">
        <v>1</v>
      </c>
      <c r="AR354" s="123">
        <v>26346.16</v>
      </c>
      <c r="AS354" s="123"/>
      <c r="AT354" s="123"/>
      <c r="AU354" s="123"/>
      <c r="AV354" s="123"/>
      <c r="AW354" s="123"/>
      <c r="AX354" s="123">
        <f>(AW354/12*2*$E354*$G354*$H354*$M354)+(AW354/12*10*$F354*$G354*$H354*$M354)</f>
        <v>0</v>
      </c>
      <c r="AY354" s="123">
        <v>36</v>
      </c>
      <c r="AZ354" s="123">
        <f>(AY354/12*2*$E354*$G354*$H354*$N354)+(AY354/12*10*$F354*$G354*$H354*$N354)</f>
        <v>988003.69920000015</v>
      </c>
      <c r="BA354" s="123"/>
      <c r="BB354" s="123">
        <f>(BA354/12*2*$E354*$G354*$H354*$N354)+(BA354/12*10*$F354*$G354*$H354*$N354)</f>
        <v>0</v>
      </c>
      <c r="BC354" s="123"/>
      <c r="BD354" s="123">
        <f>(BC354/12*2*$E354*$G354*$H354*$N354)+(BC354/12*10*$F354*$G354*$H354*$N354)</f>
        <v>0</v>
      </c>
      <c r="BE354" s="123">
        <v>15</v>
      </c>
      <c r="BF354" s="123">
        <f>(BE354/12*10*$F354*$G354*$H354*$N354)</f>
        <v>345802.80000000005</v>
      </c>
      <c r="BG354" s="123">
        <v>3</v>
      </c>
      <c r="BH354" s="123">
        <f>(BG354/12*2*$E354*$G354*$H354*$N354)+(BG354/12*10*$F354*$G354*$H354*$N354)</f>
        <v>82333.641600000017</v>
      </c>
      <c r="BI354" s="123">
        <v>7</v>
      </c>
      <c r="BJ354" s="123">
        <f>(BI354/12*2*$E354*$G354*$H354*$N354)+(BI354/12*10*$F354*$G354*$H354*$N354)</f>
        <v>192111.83040000004</v>
      </c>
      <c r="BK354" s="123">
        <v>20</v>
      </c>
      <c r="BL354" s="123">
        <f>(BK354/12*2*$E354*$G354*$H354*$N354)+(BK354/12*10*$F354*$G354*$H354*$N354)</f>
        <v>548890.94400000002</v>
      </c>
      <c r="BM354" s="123"/>
      <c r="BN354" s="123">
        <f>(BM354/12*2*$E354*$G354*$H354*$M354)+(BM354/12*10*$F354*$G354*$H354*$M354)</f>
        <v>0</v>
      </c>
      <c r="BO354" s="123"/>
      <c r="BP354" s="123">
        <f>(BO354/12*2*$E354*$G354*$H354*$M354)+(BO354/12*10*$F354*$G354*$H354*$M354)</f>
        <v>0</v>
      </c>
      <c r="BQ354" s="123"/>
      <c r="BR354" s="123">
        <f>(BQ354/12*2*$E354*$G354*$H354*$M354)+(BQ354/12*10*$F354*$G354*$H354*$M354)</f>
        <v>0</v>
      </c>
      <c r="BS354" s="123"/>
      <c r="BT354" s="123">
        <f>(BS354/12*2*$E354*$G354*$H354*$N354)+(BS354/12*10*$F354*$G354*$H354*$N354)</f>
        <v>0</v>
      </c>
      <c r="BU354" s="123"/>
      <c r="BV354" s="123">
        <f>(BU354/12*2*$E354*$G354*$H354*$M354)+(BU354/12*10*$F354*$G354*$H354*$M354)</f>
        <v>0</v>
      </c>
      <c r="BW354" s="123"/>
      <c r="BX354" s="123">
        <f>(BW354/12*2*$E354*$G354*$H354*$M354)+(BW354/12*10*$F354*$G354*$H354*$M354)</f>
        <v>0</v>
      </c>
      <c r="BY354" s="123">
        <v>4</v>
      </c>
      <c r="BZ354" s="123">
        <f>(BY354/12*2*$E354*$G354*$H354*$M354)+(BY354/12*10*$F354*$G354*$H354*$M354)</f>
        <v>91481.823999999993</v>
      </c>
      <c r="CA354" s="123">
        <v>6</v>
      </c>
      <c r="CB354" s="123">
        <f>(CA354/12*2*$E354*$G354*$H354*$M354)+(CA354/12*10*$F354*$G354*$H354*$M354)</f>
        <v>137222.736</v>
      </c>
      <c r="CC354" s="123">
        <v>7</v>
      </c>
      <c r="CD354" s="123">
        <f>(CC354/12*2*$E354*$G354*$H354*$M354)+(CC354/12*10*$F354*$G354*$H354*$M354)</f>
        <v>160093.19200000004</v>
      </c>
      <c r="CE354" s="123">
        <v>9</v>
      </c>
      <c r="CF354" s="123">
        <f>(CE354/12*10*$F354*$G354*$H354*$N354)</f>
        <v>207481.68000000002</v>
      </c>
      <c r="CG354" s="132"/>
      <c r="CH354" s="123">
        <f>(CG354/12*2*$E354*$G354*$H354*$N354)+(CG354/12*10*$F354*$G354*$H354*$N354)</f>
        <v>0</v>
      </c>
      <c r="CI354" s="123"/>
      <c r="CJ354" s="127">
        <f>(CI354*$E354*$G354*$H354*$N354)</f>
        <v>0</v>
      </c>
      <c r="CK354" s="123"/>
      <c r="CL354" s="123">
        <f>(CK354/12*2*$E354*$G354*$H354*$N354)+(CK354/12*10*$F354*$G354*$H354*$N354)</f>
        <v>0</v>
      </c>
      <c r="CM354" s="130">
        <v>9</v>
      </c>
      <c r="CN354" s="123">
        <f>(CM354/12*2*$E354*$G354*$H354*$N354)+(CM354/12*10*$F354*$G354*$H354*$N354)</f>
        <v>247000.92480000004</v>
      </c>
      <c r="CO354" s="123">
        <v>2</v>
      </c>
      <c r="CP354" s="123">
        <v>13173.08</v>
      </c>
      <c r="CQ354" s="123">
        <v>7</v>
      </c>
      <c r="CR354" s="123">
        <f>(CQ354/12*2*$E354*$G354*$H354*$O354)+(CQ354/12*10*$F354*$G354*$H354*$O354)</f>
        <v>255005.58440000005</v>
      </c>
      <c r="CS354" s="123">
        <v>5</v>
      </c>
      <c r="CT354" s="127">
        <f>(CS354/12*2*$E354*$G354*$H354*$P354)+(CS354/12*10*$F354*$G354*$H354*$P354)</f>
        <v>209918.114</v>
      </c>
      <c r="CU354" s="127"/>
      <c r="CV354" s="127"/>
      <c r="CW354" s="126">
        <f t="shared" si="509"/>
        <v>295</v>
      </c>
      <c r="CX354" s="126">
        <f t="shared" si="509"/>
        <v>7452306.9160000011</v>
      </c>
    </row>
    <row r="355" spans="1:102" ht="30" customHeight="1" x14ac:dyDescent="0.25">
      <c r="A355" s="91"/>
      <c r="B355" s="116">
        <v>284</v>
      </c>
      <c r="C355" s="117" t="s">
        <v>828</v>
      </c>
      <c r="D355" s="161" t="s">
        <v>829</v>
      </c>
      <c r="E355" s="95">
        <v>28004</v>
      </c>
      <c r="F355" s="96">
        <v>29405</v>
      </c>
      <c r="G355" s="119">
        <v>0.74</v>
      </c>
      <c r="H355" s="107">
        <v>1</v>
      </c>
      <c r="I355" s="108"/>
      <c r="J355" s="108"/>
      <c r="K355" s="108"/>
      <c r="L355" s="63"/>
      <c r="M355" s="120">
        <v>1.4</v>
      </c>
      <c r="N355" s="120">
        <v>1.68</v>
      </c>
      <c r="O355" s="120">
        <v>2.23</v>
      </c>
      <c r="P355" s="121">
        <v>2.57</v>
      </c>
      <c r="Q355" s="122">
        <v>5</v>
      </c>
      <c r="R355" s="123">
        <f>(Q355/12*2*$E355*$G355*$H355*$M355)+(Q355/12*10*$F355*$G355*$H355*$M355)</f>
        <v>151108.37</v>
      </c>
      <c r="S355" s="124">
        <v>36</v>
      </c>
      <c r="T355" s="125">
        <f>(S355/12*2*$E355*$G355*$H355*$M355)+(S355/12*10*$F355*$G355*$H355*$M355)</f>
        <v>1087980.264</v>
      </c>
      <c r="U355" s="123">
        <v>5</v>
      </c>
      <c r="V355" s="123">
        <f>(U355/12*2*$E355*$G355*$H355*$M355)+(U355/12*10*$F355*$G355*$H355*$M355)</f>
        <v>151108.37</v>
      </c>
      <c r="W355" s="123"/>
      <c r="X355" s="123">
        <f>(W355/12*2*$E355*$G355*$H355*$M355)+(W355/12*10*$F355*$G355*$H355*$M355)</f>
        <v>0</v>
      </c>
      <c r="Y355" s="123"/>
      <c r="Z355" s="123">
        <f>(Y355/12*2*$E355*$G355*$H355*$M355)+(Y355/12*10*$F355*$G355*$H355*$M355)</f>
        <v>0</v>
      </c>
      <c r="AA355" s="123"/>
      <c r="AB355" s="123">
        <f>(AA355/12*2*$E355*$G355*$H355*$M355)+(AA355/12*10*$F355*$G355*$H355*$M355)</f>
        <v>0</v>
      </c>
      <c r="AC355" s="123"/>
      <c r="AD355" s="123"/>
      <c r="AE355" s="123"/>
      <c r="AF355" s="123">
        <f>(AE355/12*2*$E355*$G355*$H355*$M355)+(AE355/12*10*$F355*$G355*$H355*$M355)</f>
        <v>0</v>
      </c>
      <c r="AG355" s="123">
        <v>0</v>
      </c>
      <c r="AH355" s="123">
        <f>(AG355/12*2*$E355*$G355*$H355*$M355)+(AG355/12*10*$F355*$G355*$H355*$M355)</f>
        <v>0</v>
      </c>
      <c r="AI355" s="123"/>
      <c r="AJ355" s="123">
        <f>(AI355/12*2*$E355*$G355*$H355*$M355)+(AI355/12*10*$F355*$G355*$H355*$M355)</f>
        <v>0</v>
      </c>
      <c r="AK355" s="123">
        <v>80</v>
      </c>
      <c r="AL355" s="126">
        <f>(AK355/12*2*$E355*$G355*$H355*$N355)+(AK355/12*10*$F355*$G355*$H355*$N355)</f>
        <v>2901280.7039999999</v>
      </c>
      <c r="AM355" s="132"/>
      <c r="AN355" s="123">
        <f>(AM355/12*2*$E355*$G355*$H355*$N355)+(AM355/12*10*$F355*$G355*$H355*$N355)</f>
        <v>0</v>
      </c>
      <c r="AO355" s="130"/>
      <c r="AP355" s="123">
        <f>(AO355/12*2*$E355*$G355*$H355*$N355)+(AO355/12*10*$F355*$G355*$H355*$N355)</f>
        <v>0</v>
      </c>
      <c r="AQ355" s="123">
        <v>0</v>
      </c>
      <c r="AR355" s="123">
        <v>0</v>
      </c>
      <c r="AS355" s="123"/>
      <c r="AT355" s="123"/>
      <c r="AU355" s="123"/>
      <c r="AV355" s="123"/>
      <c r="AW355" s="123"/>
      <c r="AX355" s="123">
        <f>(AW355/12*2*$E355*$G355*$H355*$M355)+(AW355/12*10*$F355*$G355*$H355*$M355)</f>
        <v>0</v>
      </c>
      <c r="AY355" s="123">
        <v>19</v>
      </c>
      <c r="AZ355" s="123">
        <f>(AY355/12*2*$E355*$G355*$H355*$N355)+(AY355/12*10*$F355*$G355*$H355*$N355)</f>
        <v>689054.16719999991</v>
      </c>
      <c r="BA355" s="123"/>
      <c r="BB355" s="123">
        <f>(BA355/12*2*$E355*$G355*$H355*$N355)+(BA355/12*10*$F355*$G355*$H355*$N355)</f>
        <v>0</v>
      </c>
      <c r="BC355" s="123"/>
      <c r="BD355" s="123">
        <f>(BC355/12*2*$E355*$G355*$H355*$N355)+(BC355/12*10*$F355*$G355*$H355*$N355)</f>
        <v>0</v>
      </c>
      <c r="BE355" s="123">
        <v>15</v>
      </c>
      <c r="BF355" s="123">
        <f>(BE355/12*10*$F355*$G355*$H355*$N355)</f>
        <v>456953.7</v>
      </c>
      <c r="BG355" s="123">
        <v>8</v>
      </c>
      <c r="BH355" s="123">
        <f>(BG355/12*2*$E355*$G355*$H355*$N355)+(BG355/12*10*$F355*$G355*$H355*$N355)</f>
        <v>290128.07039999997</v>
      </c>
      <c r="BI355" s="123">
        <v>10</v>
      </c>
      <c r="BJ355" s="123">
        <f>(BI355/12*2*$E355*$G355*$H355*$N355)+(BI355/12*10*$F355*$G355*$H355*$N355)</f>
        <v>362660.08799999999</v>
      </c>
      <c r="BK355" s="123">
        <v>5</v>
      </c>
      <c r="BL355" s="123">
        <f>(BK355/12*2*$E355*$G355*$H355*$N355)+(BK355/12*10*$F355*$G355*$H355*$N355)</f>
        <v>181330.04399999999</v>
      </c>
      <c r="BM355" s="123"/>
      <c r="BN355" s="123">
        <f>(BM355/12*2*$E355*$G355*$H355*$M355)+(BM355/12*10*$F355*$G355*$H355*$M355)</f>
        <v>0</v>
      </c>
      <c r="BO355" s="123"/>
      <c r="BP355" s="123">
        <f>(BO355/12*2*$E355*$G355*$H355*$M355)+(BO355/12*10*$F355*$G355*$H355*$M355)</f>
        <v>0</v>
      </c>
      <c r="BQ355" s="123"/>
      <c r="BR355" s="123">
        <f>(BQ355/12*2*$E355*$G355*$H355*$M355)+(BQ355/12*10*$F355*$G355*$H355*$M355)</f>
        <v>0</v>
      </c>
      <c r="BS355" s="123"/>
      <c r="BT355" s="123">
        <f>(BS355/12*2*$E355*$G355*$H355*$N355)+(BS355/12*10*$F355*$G355*$H355*$N355)</f>
        <v>0</v>
      </c>
      <c r="BU355" s="123"/>
      <c r="BV355" s="123">
        <f>(BU355/12*2*$E355*$G355*$H355*$M355)+(BU355/12*10*$F355*$G355*$H355*$M355)</f>
        <v>0</v>
      </c>
      <c r="BW355" s="123"/>
      <c r="BX355" s="123">
        <f>(BW355/12*2*$E355*$G355*$H355*$M355)+(BW355/12*10*$F355*$G355*$H355*$M355)</f>
        <v>0</v>
      </c>
      <c r="BY355" s="123">
        <v>5</v>
      </c>
      <c r="BZ355" s="123">
        <f>(BY355/12*2*$E355*$G355*$H355*$M355)+(BY355/12*10*$F355*$G355*$H355*$M355)</f>
        <v>151108.37</v>
      </c>
      <c r="CA355" s="123">
        <v>6</v>
      </c>
      <c r="CB355" s="123">
        <f>(CA355/12*2*$E355*$G355*$H355*$M355)+(CA355/12*10*$F355*$G355*$H355*$M355)</f>
        <v>181330.04399999999</v>
      </c>
      <c r="CC355" s="123">
        <v>9</v>
      </c>
      <c r="CD355" s="123">
        <f>(CC355/12*2*$E355*$G355*$H355*$M355)+(CC355/12*10*$F355*$G355*$H355*$M355)</f>
        <v>271995.06599999999</v>
      </c>
      <c r="CE355" s="123">
        <v>12</v>
      </c>
      <c r="CF355" s="123">
        <f>(CE355/12*10*$F355*$G355*$H355*$N355)</f>
        <v>365562.95999999996</v>
      </c>
      <c r="CG355" s="132"/>
      <c r="CH355" s="123">
        <f>(CG355/12*2*$E355*$G355*$H355*$N355)+(CG355/12*10*$F355*$G355*$H355*$N355)</f>
        <v>0</v>
      </c>
      <c r="CI355" s="123"/>
      <c r="CJ355" s="127">
        <f>(CI355*$E355*$G355*$H355*$N355)</f>
        <v>0</v>
      </c>
      <c r="CK355" s="123"/>
      <c r="CL355" s="123">
        <f>(CK355/12*2*$E355*$G355*$H355*$N355)+(CK355/12*10*$F355*$G355*$H355*$N355)</f>
        <v>0</v>
      </c>
      <c r="CM355" s="130">
        <v>1</v>
      </c>
      <c r="CN355" s="123">
        <f>(CM355/12*2*$E355*$G355*$H355*$N355)+(CM355/12*10*$F355*$G355*$H355*$N355)</f>
        <v>36266.008799999996</v>
      </c>
      <c r="CO355" s="123">
        <v>3</v>
      </c>
      <c r="CP355" s="123">
        <v>17407.29</v>
      </c>
      <c r="CQ355" s="123">
        <v>7</v>
      </c>
      <c r="CR355" s="123">
        <f>(CQ355/12*2*$E355*$G355*$H355*$O355)+(CQ355/12*10*$F355*$G355*$H355*$O355)</f>
        <v>336971.66509999998</v>
      </c>
      <c r="CS355" s="123">
        <v>5</v>
      </c>
      <c r="CT355" s="127">
        <f>(CS355/12*2*$E355*$G355*$H355*$P355)+(CS355/12*10*$F355*$G355*$H355*$P355)</f>
        <v>277391.79349999997</v>
      </c>
      <c r="CU355" s="127"/>
      <c r="CV355" s="127"/>
      <c r="CW355" s="126">
        <f t="shared" si="509"/>
        <v>231</v>
      </c>
      <c r="CX355" s="126">
        <f t="shared" si="509"/>
        <v>7909636.9749999996</v>
      </c>
    </row>
    <row r="356" spans="1:102" ht="30" customHeight="1" x14ac:dyDescent="0.25">
      <c r="A356" s="91"/>
      <c r="B356" s="116">
        <v>285</v>
      </c>
      <c r="C356" s="117" t="s">
        <v>830</v>
      </c>
      <c r="D356" s="161" t="s">
        <v>831</v>
      </c>
      <c r="E356" s="95">
        <v>28004</v>
      </c>
      <c r="F356" s="96">
        <v>29405</v>
      </c>
      <c r="G356" s="119">
        <v>1.44</v>
      </c>
      <c r="H356" s="107">
        <v>1</v>
      </c>
      <c r="I356" s="110">
        <v>0.95</v>
      </c>
      <c r="J356" s="108"/>
      <c r="K356" s="108"/>
      <c r="L356" s="63"/>
      <c r="M356" s="120">
        <v>1.4</v>
      </c>
      <c r="N356" s="120">
        <v>1.68</v>
      </c>
      <c r="O356" s="120">
        <v>2.23</v>
      </c>
      <c r="P356" s="121">
        <v>2.57</v>
      </c>
      <c r="Q356" s="122">
        <v>317</v>
      </c>
      <c r="R356" s="123">
        <f>(Q356/12*2*$E356*$G356*$H356*$M356*$R$11)+(Q356/12*10*$F356*$G356*$I356*$M356*$R$11)</f>
        <v>19645661.7588</v>
      </c>
      <c r="S356" s="124">
        <v>597</v>
      </c>
      <c r="T356" s="125">
        <f>(S356/12*2*$E356*$G356*$H356*$M356*$R$11)+(S356/12*10*$F356*$G356*$I356*$M356*$R$11)</f>
        <v>36998296.750799999</v>
      </c>
      <c r="U356" s="123">
        <v>312</v>
      </c>
      <c r="V356" s="123">
        <f>(U356/12*2*$E356*$G356*$H356*$M356*$V$11)+(U356/12*10*$F356*$G356*$I356*$M356*$V$12)</f>
        <v>23584231.944000002</v>
      </c>
      <c r="W356" s="123"/>
      <c r="X356" s="126">
        <f>(W356/12*2*$E356*$G356*$H356*$M356*$X$11)+(W356/12*10*$F356*$G356*$I356*$M356*$X$12)</f>
        <v>0</v>
      </c>
      <c r="Y356" s="123"/>
      <c r="Z356" s="123">
        <f>(Y356/12*2*$E356*$G356*$H356*$M356*$Z$11)+(Y356/12*10*$F356*$G356*$I356*$M356*$Z$12)</f>
        <v>0</v>
      </c>
      <c r="AA356" s="123"/>
      <c r="AB356" s="123">
        <f>(AA356/12*2*$E356*$G356*$H356*$M356*$AB$11)+(AA356/12*10*$F356*$G356*$I356*$M356*$AB$11)</f>
        <v>0</v>
      </c>
      <c r="AC356" s="123"/>
      <c r="AD356" s="123"/>
      <c r="AE356" s="123"/>
      <c r="AF356" s="127">
        <f>(AE356/12*2*$E356*$G356*$H356*$M356*$AF$11)+(AE356/12*10*$F356*$G356*$I356*$M356*$AF$11)</f>
        <v>0</v>
      </c>
      <c r="AG356" s="123">
        <v>4</v>
      </c>
      <c r="AH356" s="126">
        <f>(AG356/12*2*$E356*$G356*$H356*$M356*$AH$11)+(AG356/12*10*$F356*$G356*$I356*$M356*$AH$11)</f>
        <v>247894.78559999992</v>
      </c>
      <c r="AI356" s="130">
        <v>1</v>
      </c>
      <c r="AJ356" s="123">
        <f>(AI356/12*2*$E356*$G356*$H356*$M356*$AJ$11)+(AI356/12*5*$F356*$G356*$I356*$M356*$AJ$12)+(AI356/12*5*$F356*$G356*$I356*$M356*$AJ$13)</f>
        <v>72772.337399999975</v>
      </c>
      <c r="AK356" s="123">
        <v>210</v>
      </c>
      <c r="AL356" s="123">
        <f>(AK356/12*2*$E356*$G356*$H356*$N356*$AL$11)+(AK356/12*5*$F356*$G356*$I356*$N356*$AL$12)+(AK356/12*5*$F356*$G356*$I356*$N356*$AL$13)</f>
        <v>18338629.024799999</v>
      </c>
      <c r="AM356" s="132"/>
      <c r="AN356" s="123">
        <f>(AM356/12*2*$E356*$G356*$H356*$N356*$AN$11)+(AM356/12*10*$F356*$G356*$I356*$N356*$AN$12)</f>
        <v>0</v>
      </c>
      <c r="AO356" s="130">
        <v>1</v>
      </c>
      <c r="AP356" s="127">
        <f>(AO356/12*2*$E356*$G356*$H356*$N356*$AP$11)+(AO356/12*10*$F356*$G356*$I356*$N356*$AP$11)</f>
        <v>74368.43567999998</v>
      </c>
      <c r="AQ356" s="127">
        <v>1</v>
      </c>
      <c r="AR356" s="127">
        <v>74337.72</v>
      </c>
      <c r="AS356" s="123"/>
      <c r="AT356" s="123"/>
      <c r="AU356" s="123"/>
      <c r="AV356" s="126"/>
      <c r="AW356" s="123"/>
      <c r="AX356" s="123">
        <f>(AW356/12*2*$E356*$G356*$H356*$M356*$AX$11)+(AW356/12*10*$F356*$G356*$I356*$M356*$AX$12)</f>
        <v>0</v>
      </c>
      <c r="AY356" s="123">
        <v>154</v>
      </c>
      <c r="AZ356" s="123">
        <f>(AY356/12*2*$E356*$G356*$H356*$N356*$AZ$11)+(AY356/12*10*$F356*$G356*$I356*$N356*$AZ$11)</f>
        <v>11452739.09472</v>
      </c>
      <c r="BA356" s="123"/>
      <c r="BB356" s="123">
        <f>(BA356/12*2*$E356*$G356*$H356*$N356*$BB$11)+(BA356/12*10*$F356*$G356*$I356*$N356*$BB$12)</f>
        <v>0</v>
      </c>
      <c r="BC356" s="123"/>
      <c r="BD356" s="126"/>
      <c r="BE356" s="123">
        <v>25</v>
      </c>
      <c r="BF356" s="123">
        <f>(BE356/12*10*$F356*$G356*$I356*$N356*$BF$12)</f>
        <v>1407911.4000000001</v>
      </c>
      <c r="BG356" s="123"/>
      <c r="BH356" s="123">
        <f>(BG356/12*2*$E356*$G356*$H356*$N356*$BH$11)+(BG356/12*10*$F356*$G356*$I356*$N356*$BH$11)</f>
        <v>0</v>
      </c>
      <c r="BI356" s="123">
        <v>10</v>
      </c>
      <c r="BJ356" s="126">
        <f>(BI356/12*2*$E356*$G356*$H356*$N356*$BJ$11)+(BI356/12*10*$F356*$G356*$I356*$N356*$BJ$11)</f>
        <v>811292.02559999994</v>
      </c>
      <c r="BK356" s="123">
        <v>30</v>
      </c>
      <c r="BL356" s="127">
        <f>(BK356/12*2*$E356*$G356*$H356*$N356*$BL$11)+(BK356/12*10*$F356*$G356*$I356*$N356*$BL$11)</f>
        <v>2433876.0767999999</v>
      </c>
      <c r="BM356" s="123"/>
      <c r="BN356" s="123">
        <f>(BM356/12*2*$E356*$G356*$H356*$M356*$BN$11)+(BM356/12*10*$F356*$G356*$I356*$M356*$BN$11)</f>
        <v>0</v>
      </c>
      <c r="BO356" s="123"/>
      <c r="BP356" s="123">
        <f>(BO356/12*2*$E356*$G356*$H356*$M356*$BP$11)+(BO356/12*10*$F356*$G356*$I356*$M356*$BP$12)</f>
        <v>0</v>
      </c>
      <c r="BQ356" s="123"/>
      <c r="BR356" s="123">
        <f>(BQ356/12*2*$E356*$G356*$H356*$M356*$BR$11)+(BQ356/12*10*$F356*$G356*$I356*$M356*$BR$11)</f>
        <v>0</v>
      </c>
      <c r="BS356" s="123">
        <v>3</v>
      </c>
      <c r="BT356" s="123">
        <f>(BS356/12*2*$E356*$G356*$H356*$N356*$BT$11)+(BS356/12*10*$F356*$G356*$I356*$N356*$BT$11)</f>
        <v>202823.00639999998</v>
      </c>
      <c r="BU356" s="123"/>
      <c r="BV356" s="126">
        <f>(BU356/12*2*$E356*$G356*$H356*$M356*$BV$11)+(BU356/12*10*$F356*$G356*$I356*$M356*$BV$11)</f>
        <v>0</v>
      </c>
      <c r="BW356" s="123"/>
      <c r="BX356" s="123">
        <f>(BW356/12*2*$E356*$G356*$H356*$M356*$BX$11)+(BW356/12*10*$F356*$G356*$I356*$M356*$BX$11)</f>
        <v>0</v>
      </c>
      <c r="BY356" s="123">
        <v>6</v>
      </c>
      <c r="BZ356" s="123">
        <f>(BY356/12*2*$E356*$G356*$H356*$M356*$BZ$11)+(BY356/12*10*$F356*$G356*$I356*$M356*$BZ$11)</f>
        <v>338038.34399999998</v>
      </c>
      <c r="CA356" s="123">
        <v>3</v>
      </c>
      <c r="CB356" s="123">
        <f>(CA356/12*2*$E356*$G356*$H356*$M356*$CB$11)+(CA356/12*10*$F356*$G356*$I356*$M356*$CB$11)</f>
        <v>202823.00639999998</v>
      </c>
      <c r="CC356" s="123">
        <v>12</v>
      </c>
      <c r="CD356" s="123">
        <f>(CC356/12*2*$E356*$G356*$H356*$M356*$CD$11)+(CC356/12*10*$F356*$G356*$I356*$M356*$CD$11)</f>
        <v>676076.68799999997</v>
      </c>
      <c r="CE356" s="123">
        <v>10</v>
      </c>
      <c r="CF356" s="123">
        <f>(CE356/12*10*$F356*$G356*$I356*$N356*$CF$11)</f>
        <v>563164.55999999994</v>
      </c>
      <c r="CG356" s="132"/>
      <c r="CH356" s="123">
        <f>(CG356/12*2*$E356*$G356*$H356*$N356*$CH$11)+(CG356/12*10*$F356*$G356*$I356*$N356*$CH$11)</f>
        <v>0</v>
      </c>
      <c r="CI356" s="123"/>
      <c r="CJ356" s="127"/>
      <c r="CK356" s="123"/>
      <c r="CL356" s="123">
        <f>(CK356/12*2*$E356*$G356*$H356*$N356*$CL$11)+(CK356/12*10*$F356*$G356*$I356*$N356*$CL$12)</f>
        <v>0</v>
      </c>
      <c r="CM356" s="130">
        <v>1</v>
      </c>
      <c r="CN356" s="123">
        <f>(CM356/12*2*$E356*$G356*$H356*$N356*$CN$11)+(CM356/12*10*$F356*$G356*$I356*$N356*$CN$11)</f>
        <v>67607.668799999985</v>
      </c>
      <c r="CO356" s="123">
        <v>10</v>
      </c>
      <c r="CP356" s="123">
        <v>67579.75</v>
      </c>
      <c r="CQ356" s="123"/>
      <c r="CR356" s="123">
        <f>(CQ356/12*2*$E356*$G356*$H356*$O356*$CR$11)+(CQ356/12*10*$F356*$G356*$I356*$O356*$CR$11)</f>
        <v>0</v>
      </c>
      <c r="CS356" s="123">
        <v>10</v>
      </c>
      <c r="CT356" s="133">
        <f>(CS356/12*2*$E356*$G356*$H356*$P356*$CT$11)+(CS356/12*10*$F356*$G356*$I356*$P356*$CT$11)</f>
        <v>1034236.362</v>
      </c>
      <c r="CU356" s="127"/>
      <c r="CV356" s="123"/>
      <c r="CW356" s="126">
        <f t="shared" si="509"/>
        <v>1717</v>
      </c>
      <c r="CX356" s="126">
        <f t="shared" si="509"/>
        <v>118294360.73980004</v>
      </c>
    </row>
    <row r="357" spans="1:102" ht="30" customHeight="1" x14ac:dyDescent="0.25">
      <c r="A357" s="91"/>
      <c r="B357" s="116">
        <v>286</v>
      </c>
      <c r="C357" s="117" t="s">
        <v>832</v>
      </c>
      <c r="D357" s="161" t="s">
        <v>833</v>
      </c>
      <c r="E357" s="95">
        <v>28004</v>
      </c>
      <c r="F357" s="96">
        <v>29405</v>
      </c>
      <c r="G357" s="119">
        <v>7.07</v>
      </c>
      <c r="H357" s="110">
        <v>0.8</v>
      </c>
      <c r="I357" s="203"/>
      <c r="J357" s="203"/>
      <c r="K357" s="203"/>
      <c r="L357" s="63"/>
      <c r="M357" s="120">
        <v>1.4</v>
      </c>
      <c r="N357" s="120">
        <v>1.68</v>
      </c>
      <c r="O357" s="120">
        <v>2.23</v>
      </c>
      <c r="P357" s="121">
        <v>2.57</v>
      </c>
      <c r="Q357" s="122">
        <v>1</v>
      </c>
      <c r="R357" s="123">
        <f>(Q357/12*2*$E357*$G357*$H357*$M357*$R$11)+(Q357/12*10*$F357*$G357*$H357*$M357*$R$11)</f>
        <v>254090.76616</v>
      </c>
      <c r="S357" s="124">
        <v>83</v>
      </c>
      <c r="T357" s="125">
        <f>(S357/12*2*$E357*$G357*$H357*$M357*$R$11)+(S357/12*10*$F357*$G357*$H357*$M357*$R$11)</f>
        <v>21089533.591280002</v>
      </c>
      <c r="U357" s="123"/>
      <c r="V357" s="123">
        <f>(U357/12*2*$E357*$G357*$H357*$M357*$V$11)+(U357/12*10*$F357*$G357*$H357*$M357*$V$12)</f>
        <v>0</v>
      </c>
      <c r="W357" s="123"/>
      <c r="X357" s="126">
        <f>(W357/12*2*$E357*$G357*$H357*$M357*$X$11)+(W357/12*10*$F357*$G357*$H357*$M357*$X$12)</f>
        <v>0</v>
      </c>
      <c r="Y357" s="123"/>
      <c r="Z357" s="123">
        <f>(Y357/12*2*$E357*$G357*$H357*$M357*$Z$11)+(Y357/12*10*$F357*$G357*$H357*$M357*$Z$12)</f>
        <v>0</v>
      </c>
      <c r="AA357" s="123"/>
      <c r="AB357" s="123">
        <f>(AA357/12*2*$E357*$G357*$H357*$M357*$AB$11)+(AA357/12*10*$F357*$G357*$H357*$M357*$AB$11)</f>
        <v>0</v>
      </c>
      <c r="AC357" s="123"/>
      <c r="AD357" s="123"/>
      <c r="AE357" s="123"/>
      <c r="AF357" s="123">
        <f>(AE357/12*2*$E357*$G357*$H357*$M357*$AF$11)+(AE357/12*10*$F357*$G357*$H357*$M357*$AF$11)</f>
        <v>0</v>
      </c>
      <c r="AG357" s="135">
        <v>0</v>
      </c>
      <c r="AH357" s="136">
        <f>(AG357/12*2*$E357*$G357*$H357*$M357*$AH$11)+(AG357/12*10*$F357*$G357*$H357*$M357*$AH$11)</f>
        <v>0</v>
      </c>
      <c r="AI357" s="123"/>
      <c r="AJ357" s="123">
        <f>(AI357/12*2*$E357*$G357*$H357*$M357*$AJ$11)+(AI357/12*5*$F357*$G357*$H357*$M357*$AJ$12)+(AI357/12*5*$F357*$G357*$H357*$M357*$AJ$13)</f>
        <v>0</v>
      </c>
      <c r="AK357" s="123">
        <f>25-7</f>
        <v>18</v>
      </c>
      <c r="AL357" s="123">
        <f>(AK357/12*2*$E357*$G357*$H357*$N357*$AL$11)+(AK357/12*5*$F357*$G357*$H357*$N357*$AL$12)++(AK357/12*5*$F357*$G357*$H357*$N357*$AL$13)</f>
        <v>6444332.9858880006</v>
      </c>
      <c r="AM357" s="132"/>
      <c r="AN357" s="123">
        <f>(AM357/12*2*$E357*$G357*$H357*$N357*$AN$11)+(AM357/12*10*$F357*$G357*$H357*$N357*$AN$12)</f>
        <v>0</v>
      </c>
      <c r="AO357" s="130"/>
      <c r="AP357" s="127">
        <f>(AO357/12*2*$E357*$G357*$H357*$N357*$AP$11)+(AO357/12*10*$F357*$G357*$H357*$N357*$AP$11)</f>
        <v>0</v>
      </c>
      <c r="AQ357" s="127">
        <v>0</v>
      </c>
      <c r="AR357" s="127">
        <v>0</v>
      </c>
      <c r="AS357" s="123"/>
      <c r="AT357" s="123">
        <f>(AS357/12*2*$E357*$G357*$H357*$M357*$AT$11)+(AS357/12*10*$F357*$G357*$H357*$M357*$AT$11)</f>
        <v>0</v>
      </c>
      <c r="AU357" s="123"/>
      <c r="AV357" s="126">
        <f>(AU357/12*2*$E357*$G357*$H357*$M357*$AV$11)+(AU357/12*10*$F357*$G357*$H357*$M357*$AV$12)</f>
        <v>0</v>
      </c>
      <c r="AW357" s="123"/>
      <c r="AX357" s="123">
        <f>(AW357/12*2*$E357*$G357*$H357*$M357*$AX$11)+(AW357/12*10*$F357*$G357*$H357*$M357*$AX$12)</f>
        <v>0</v>
      </c>
      <c r="AY357" s="123">
        <v>0</v>
      </c>
      <c r="AZ357" s="123">
        <f>(AY357/12*2*$E357*$G357*$H357*$N357*$AZ$11)+(AY357/12*10*$F357*$G357*$H357*$N357*$AZ$11)</f>
        <v>0</v>
      </c>
      <c r="BA357" s="123"/>
      <c r="BB357" s="123">
        <f>(BA357/12*2*$E357*$G357*$H357*$N357*$BB$11)+(BA357/12*10*$F357*$G357*$H357*$N357*$BB$12)</f>
        <v>0</v>
      </c>
      <c r="BC357" s="123"/>
      <c r="BD357" s="126">
        <f>(BC357/12*2*$E357*$G357*$H357*$N357*$BD$11)+(BC357/12*10*$F357*$G357*$H357*$N357*$BD$12)</f>
        <v>0</v>
      </c>
      <c r="BE357" s="123"/>
      <c r="BF357" s="123">
        <f>(BE357/12*10*$F357*$G357*$H357*$N357*$BF$12)</f>
        <v>0</v>
      </c>
      <c r="BG357" s="123"/>
      <c r="BH357" s="123">
        <f>(BG357/12*2*$E357*$G357*$H357*$N357*$BH$11)+(BG357/12*10*$F357*$G357*$H357*$N357*$BH$11)</f>
        <v>0</v>
      </c>
      <c r="BI357" s="123">
        <v>1</v>
      </c>
      <c r="BJ357" s="126">
        <f>(BI357/12*2*$E357*$G357*$H357*$N357*$BJ$11)+(BI357/12*10*$F357*$G357*$H357*$N357*$BJ$11)</f>
        <v>332627.91206399997</v>
      </c>
      <c r="BK357" s="123"/>
      <c r="BL357" s="127">
        <f>(BK357/12*2*$E357*$G357*$H357*$N357*$BL$11)+(BK357/12*10*$F357*$G357*$H357*$N357*$BL$11)</f>
        <v>0</v>
      </c>
      <c r="BM357" s="123"/>
      <c r="BN357" s="123">
        <f>(BM357/12*2*$E357*$G357*$H357*$M357*$BN$11)+(BM357/12*10*$F357*$G357*$H357*$M357*$BN$11)</f>
        <v>0</v>
      </c>
      <c r="BO357" s="123"/>
      <c r="BP357" s="123">
        <f>(BO357/12*2*$E357*$G357*$H357*$M357*$BP$11)+(BO357/12*10*$F357*$G357*$H357*$M357*$BP$12)</f>
        <v>0</v>
      </c>
      <c r="BQ357" s="123"/>
      <c r="BR357" s="123">
        <f>(BQ357/12*2*$E357*$G357*$H357*$M357*$BR$11)+(BQ357/12*10*$F357*$G357*$H357*$M357*$BR$11)</f>
        <v>0</v>
      </c>
      <c r="BS357" s="123"/>
      <c r="BT357" s="123">
        <f>(BS357/12*2*$E357*$G357*$H357*$N357*$BT$11)+(BS357/12*10*$F357*$G357*$H357*$N357*$BT$11)</f>
        <v>0</v>
      </c>
      <c r="BU357" s="123"/>
      <c r="BV357" s="126">
        <f>(BU357/12*2*$E357*$G357*$H357*$M357*$BV$11)+(BU357/12*10*$F357*$G357*$H357*$M357*$BV$11)</f>
        <v>0</v>
      </c>
      <c r="BW357" s="123"/>
      <c r="BX357" s="123">
        <f>(BW357/12*2*$E357*$G357*$H357*$M357*$BX$11)+(BW357/12*10*$F357*$G357*$H357*$M357*$BX$11)</f>
        <v>0</v>
      </c>
      <c r="BY357" s="123"/>
      <c r="BZ357" s="123">
        <f>(BY357/12*2*$E357*$G357*$H357*$M357*$BZ$11)+(BY357/12*10*$F357*$G357*$H357*$M357*$BZ$11)</f>
        <v>0</v>
      </c>
      <c r="CA357" s="123"/>
      <c r="CB357" s="123">
        <f>(CA357/12*2*$E357*$G357*$H357*$M357*$CB$11)+(CA357/12*10*$F357*$G357*$H357*$M357*$CB$11)</f>
        <v>0</v>
      </c>
      <c r="CC357" s="123"/>
      <c r="CD357" s="123">
        <f>(CC357/12*2*$E357*$G357*$H357*$M357*$CD$11)+(CC357/12*10*$F357*$G357*$H357*$M357*$CD$11)</f>
        <v>0</v>
      </c>
      <c r="CE357" s="123">
        <v>3</v>
      </c>
      <c r="CF357" s="123">
        <f>(CE357/12*10*$F357*$G357*$H357*$N357*$CF$11)</f>
        <v>698521.65599999996</v>
      </c>
      <c r="CG357" s="132"/>
      <c r="CH357" s="123">
        <f>(CG357/12*2*$E357*$G357*$H357*$N357*$CH$11)+(CG357/12*10*$F357*$G357*$H357*$N357*$CH$11)</f>
        <v>0</v>
      </c>
      <c r="CI357" s="123"/>
      <c r="CJ357" s="127"/>
      <c r="CK357" s="123"/>
      <c r="CL357" s="123">
        <f>(CK357/12*2*$E357*$G357*$H357*$N357*$CL$11)+(CK357/12*10*$F357*$G357*$H357*$N357*$CL$12)</f>
        <v>0</v>
      </c>
      <c r="CM357" s="130"/>
      <c r="CN357" s="123">
        <f>(CM357/12*2*$E357*$G357*$H357*$N357*$CN$11)+(CM357/12*10*$F357*$G357*$H357*$N357*$CN$11)</f>
        <v>0</v>
      </c>
      <c r="CO357" s="123"/>
      <c r="CP357" s="123">
        <f>(CO357/12*2*$E357*$G357*$H357*$N357*$CP$11)+(CO357/12*10*$F357*$G357*$H357*$N357*$CP$11)</f>
        <v>0</v>
      </c>
      <c r="CQ357" s="123"/>
      <c r="CR357" s="123">
        <f>(CQ357/12*2*$E357*$G357*$H357*$O357*$CR$11)+(CQ357/12*10*$F357*$G357*$H357*$O357*$CR$11)</f>
        <v>0</v>
      </c>
      <c r="CS357" s="123">
        <v>1</v>
      </c>
      <c r="CT357" s="133">
        <f>(CS357/12*2*$E357*$G357*$H357*$P357*$CT$11)+(CS357/12*10*$F357*$G357*$H357*$P357*$CT$11)</f>
        <v>424034.59027999989</v>
      </c>
      <c r="CU357" s="127"/>
      <c r="CV357" s="123">
        <f>(CU357*$E357*$G357*$H357*$M357*CV$11)/12*6+(CU357*$E357*$G357*$H357*1*CV$11)/12*6</f>
        <v>0</v>
      </c>
      <c r="CW357" s="126">
        <f t="shared" si="509"/>
        <v>107</v>
      </c>
      <c r="CX357" s="126">
        <f t="shared" si="509"/>
        <v>29243141.501672003</v>
      </c>
    </row>
    <row r="358" spans="1:102" ht="26.25" customHeight="1" x14ac:dyDescent="0.25">
      <c r="A358" s="91"/>
      <c r="B358" s="116">
        <v>287</v>
      </c>
      <c r="C358" s="117" t="s">
        <v>834</v>
      </c>
      <c r="D358" s="161" t="s">
        <v>835</v>
      </c>
      <c r="E358" s="95">
        <v>28004</v>
      </c>
      <c r="F358" s="96">
        <v>29405</v>
      </c>
      <c r="G358" s="119">
        <v>4.46</v>
      </c>
      <c r="H358" s="110">
        <v>0.9</v>
      </c>
      <c r="I358" s="110">
        <v>0.85</v>
      </c>
      <c r="J358" s="203"/>
      <c r="K358" s="203"/>
      <c r="L358" s="63"/>
      <c r="M358" s="120">
        <v>1.4</v>
      </c>
      <c r="N358" s="120">
        <v>1.68</v>
      </c>
      <c r="O358" s="120">
        <v>2.23</v>
      </c>
      <c r="P358" s="121">
        <v>2.57</v>
      </c>
      <c r="Q358" s="122">
        <v>50</v>
      </c>
      <c r="R358" s="123">
        <f>(Q358/12*2*$E358*$G358*$H358*$M358*$R$11)+(Q358/12*10*$F358*$G358*$I358*$M358*$R$11)</f>
        <v>8595507.831166666</v>
      </c>
      <c r="S358" s="124">
        <v>174</v>
      </c>
      <c r="T358" s="125">
        <f>(S358/12*2*$E358*$G358*$H358*$M358*$R$11)+(S358/12*10*$F358*$G358*$I358*$M358*$R$11)</f>
        <v>29912367.252459999</v>
      </c>
      <c r="U358" s="123"/>
      <c r="V358" s="123">
        <f>(U358/12*2*$E358*$G358*$H358*$M358*$V$11)+(U358/12*10*$F358*$G358*$I358*$M358*$V$12)</f>
        <v>0</v>
      </c>
      <c r="W358" s="123"/>
      <c r="X358" s="126">
        <f>(W358/12*2*$E358*$G358*$H358*$M358*$X$11)+(W358/12*10*$F358*$G358*$I358*$M358*$X$12)</f>
        <v>0</v>
      </c>
      <c r="Y358" s="123"/>
      <c r="Z358" s="123">
        <f>(Y358/12*2*$E358*$G358*$H358*$M358*$Z$11)+(Y358/12*10*$F358*$G358*$I358*$M358*$Z$12)</f>
        <v>0</v>
      </c>
      <c r="AA358" s="123"/>
      <c r="AB358" s="123">
        <f>(AA358/12*2*$E358*$G358*$H358*$M358*$AB$11)+(AA358/12*10*$F358*$G358*$I358*$M358*$AB$11)</f>
        <v>0</v>
      </c>
      <c r="AC358" s="123"/>
      <c r="AD358" s="123"/>
      <c r="AE358" s="123"/>
      <c r="AF358" s="123">
        <f>(AE358/12*2*$E358*$G358*$H358*$M358*$AF$11)+(AE358/12*10*$F358*$G358*$I358*$M358*$AF$11)</f>
        <v>0</v>
      </c>
      <c r="AG358" s="123">
        <v>0</v>
      </c>
      <c r="AH358" s="126">
        <f>(AG358/12*2*$E358*$G358*$H358*$M358*$AH$11)+(AG358/12*10*$F358*$G358*$I358*$M358*$AH$11)</f>
        <v>0</v>
      </c>
      <c r="AI358" s="123"/>
      <c r="AJ358" s="123">
        <f>(AI358/12*2*$E358*$G358*$H358*$M358*$AJ$11)+(AI358/12*5*$F358*$G358*$I358*$M358*$AJ$12)+(AI358/12*5*$F358*$G358*$I358*$M358*$AJ$13)</f>
        <v>0</v>
      </c>
      <c r="AK358" s="123"/>
      <c r="AL358" s="123">
        <f>(AK358/12*2*$E358*$G358*$H358*$N358*$AL$11)+(AK358/12*5*$F358*$G358*$I358*$N358*$AL$12)+(AK358/12*5*$F358*$G358*$I358*$N358*$AL$13)</f>
        <v>0</v>
      </c>
      <c r="AM358" s="132"/>
      <c r="AN358" s="123">
        <f>(AM358/12*2*$E358*$G358*$H358*$N358*$AN$11)+(AM358/12*10*$F358*$G358*$I358*$N358*$AN$12)</f>
        <v>0</v>
      </c>
      <c r="AO358" s="130"/>
      <c r="AP358" s="127">
        <f>(AO358/12*2*$E358*$G358*$H358*$N358*$AP$11)+(AO358/12*10*$F358*$G358*$I358*$N358*$AP$11)</f>
        <v>0</v>
      </c>
      <c r="AQ358" s="127">
        <v>0</v>
      </c>
      <c r="AR358" s="127">
        <v>0</v>
      </c>
      <c r="AS358" s="123"/>
      <c r="AT358" s="123"/>
      <c r="AU358" s="123"/>
      <c r="AV358" s="126"/>
      <c r="AW358" s="123"/>
      <c r="AX358" s="123">
        <f>(AW358/12*2*$E358*$G358*$H358*$M358*$AX$11)+(AW358/12*10*$F358*$G358*$I358*$M358*$AX$12)</f>
        <v>0</v>
      </c>
      <c r="AY358" s="123">
        <v>0</v>
      </c>
      <c r="AZ358" s="123">
        <f>(AY358/12*2*$E358*$G358*$H358*$N358*$AZ$11)+(AY358/12*10*$F358*$G358*$I358*$N358*$AZ$11)</f>
        <v>0</v>
      </c>
      <c r="BA358" s="123"/>
      <c r="BB358" s="123">
        <f>(BA358/12*2*$E358*$G358*$H358*$N358*$BB$11)+(BA358/12*10*$F358*$G358*$I358*$N358*$BB$12)</f>
        <v>0</v>
      </c>
      <c r="BC358" s="123"/>
      <c r="BD358" s="126"/>
      <c r="BE358" s="123"/>
      <c r="BF358" s="123">
        <f>(BE358/12*10*$F358*$G358*$I358*$N358*$BF$12)</f>
        <v>0</v>
      </c>
      <c r="BG358" s="123"/>
      <c r="BH358" s="123">
        <f>(BG358/12*2*$E358*$G358*$H358*$N358*$BH$11)+(BG358/12*10*$F358*$G358*$I358*$N358*$BH$11)</f>
        <v>0</v>
      </c>
      <c r="BI358" s="123">
        <v>0</v>
      </c>
      <c r="BJ358" s="126">
        <f>(BI358/12*2*$E358*$G358*$H358*$N358*$BJ$11)+(BI358/12*10*$F358*$G358*$I358*$N358*$BJ$11)</f>
        <v>0</v>
      </c>
      <c r="BK358" s="123"/>
      <c r="BL358" s="127">
        <f>(BK358/12*2*$E358*$G358*$H358*$N358*$BL$11)+(BK358/12*10*$F358*$G358*$I358*$N358*$BL$11)</f>
        <v>0</v>
      </c>
      <c r="BM358" s="123"/>
      <c r="BN358" s="123">
        <f>(BM358/12*2*$E358*$G358*$H358*$M358*$BN$11)+(BM358/12*10*$F358*$G358*$I358*$M358*$BN$11)</f>
        <v>0</v>
      </c>
      <c r="BO358" s="123"/>
      <c r="BP358" s="123">
        <f>(BO358/12*2*$E358*$G358*$H358*$M358*$BP$11)+(BO358/12*10*$F358*$G358*$I358*$M358*$BP$12)</f>
        <v>0</v>
      </c>
      <c r="BQ358" s="123"/>
      <c r="BR358" s="123">
        <f>(BQ358/12*2*$E358*$G358*$H358*$M358*$BR$11)+(BQ358/12*10*$F358*$G358*$I358*$M358*$BR$11)</f>
        <v>0</v>
      </c>
      <c r="BS358" s="123"/>
      <c r="BT358" s="123">
        <f>(BS358/12*2*$E358*$G358*$H358*$N358*$BT$11)+(BS358/12*10*$F358*$G358*$I358*$N358*$BT$11)</f>
        <v>0</v>
      </c>
      <c r="BU358" s="123"/>
      <c r="BV358" s="126">
        <f>(BU358/12*2*$E358*$G358*$H358*$M358*$BV$11)+(BU358/12*10*$F358*$G358*$I358*$M358*$BV$11)</f>
        <v>0</v>
      </c>
      <c r="BW358" s="123"/>
      <c r="BX358" s="123">
        <f>(BW358/12*2*$E358*$G358*$H358*$M358*$BX$11)+(BW358/12*10*$F358*$G358*$I358*$M358*$BX$11)</f>
        <v>0</v>
      </c>
      <c r="BY358" s="123"/>
      <c r="BZ358" s="123">
        <f>(BY358/12*2*$E358*$G358*$H358*$M358*$BZ$11)+(BY358/12*10*$F358*$G358*$I358*$M358*$BZ$11)</f>
        <v>0</v>
      </c>
      <c r="CA358" s="123"/>
      <c r="CB358" s="123">
        <f>(CA358/12*2*$E358*$G358*$H358*$M358*$CB$11)+(CA358/12*10*$F358*$G358*$I358*$M358*$CB$11)</f>
        <v>0</v>
      </c>
      <c r="CC358" s="123"/>
      <c r="CD358" s="123">
        <f>(CC358/12*2*$E358*$G358*$H358*$M358*$CD$11)+(CC358/12*10*$F358*$G358*$I358*$M358*$CD$11)</f>
        <v>0</v>
      </c>
      <c r="CE358" s="123"/>
      <c r="CF358" s="123">
        <f>(CE358/12*10*$F358*$G358*$I358*$N358*$CF$11)</f>
        <v>0</v>
      </c>
      <c r="CG358" s="132"/>
      <c r="CH358" s="123">
        <f>(CG358/12*2*$E358*$G358*$H358*$N358*$CH$11)+(CG358/12*10*$F358*$G358*$I358*$N358*$CH$11)</f>
        <v>0</v>
      </c>
      <c r="CI358" s="123"/>
      <c r="CJ358" s="127"/>
      <c r="CK358" s="123"/>
      <c r="CL358" s="123">
        <f>(CK358/12*2*$E358*$G358*$H358*$N358*$CL$11)+(CK358/12*10*$F358*$G358*$I358*$N358*$CL$12)</f>
        <v>0</v>
      </c>
      <c r="CM358" s="130"/>
      <c r="CN358" s="123">
        <f>(CM358/12*2*$E358*$G358*$H358*$N358*$CN$11)+(CM358/12*10*$F358*$G358*$I358*$N358*$CN$11)</f>
        <v>0</v>
      </c>
      <c r="CO358" s="123"/>
      <c r="CP358" s="123">
        <f>(CO358/12*2*$E358*$G358*$H358*$N358*$CP$11)+(CO358/12*10*$F358*$G358*$I358*$N358*$CP$11)</f>
        <v>0</v>
      </c>
      <c r="CQ358" s="123"/>
      <c r="CR358" s="123">
        <f>(CQ358/12*2*$E358*$G358*$H358*$O358*$CR$11)+(CQ358/12*10*$F358*$G358*$I358*$O358*$CR$11)</f>
        <v>0</v>
      </c>
      <c r="CS358" s="123"/>
      <c r="CT358" s="133">
        <f>(CS358/12*2*$E358*$G358*$H358*$P358*$CT$11)+(CS358/12*10*$F358*$G358*$I358*$P358*$CT$11)</f>
        <v>0</v>
      </c>
      <c r="CU358" s="127"/>
      <c r="CV358" s="123"/>
      <c r="CW358" s="126">
        <f t="shared" si="509"/>
        <v>224</v>
      </c>
      <c r="CX358" s="126">
        <f t="shared" si="509"/>
        <v>38507875.083626665</v>
      </c>
    </row>
    <row r="359" spans="1:102" ht="30" customHeight="1" x14ac:dyDescent="0.25">
      <c r="A359" s="91"/>
      <c r="B359" s="116">
        <v>288</v>
      </c>
      <c r="C359" s="117" t="s">
        <v>836</v>
      </c>
      <c r="D359" s="161" t="s">
        <v>837</v>
      </c>
      <c r="E359" s="95">
        <v>28004</v>
      </c>
      <c r="F359" s="96">
        <v>29405</v>
      </c>
      <c r="G359" s="119">
        <v>0.79</v>
      </c>
      <c r="H359" s="110">
        <v>0.8</v>
      </c>
      <c r="I359" s="108"/>
      <c r="J359" s="108"/>
      <c r="K359" s="108"/>
      <c r="L359" s="63"/>
      <c r="M359" s="120">
        <v>1.4</v>
      </c>
      <c r="N359" s="120">
        <v>1.68</v>
      </c>
      <c r="O359" s="120">
        <v>2.23</v>
      </c>
      <c r="P359" s="121">
        <v>2.57</v>
      </c>
      <c r="Q359" s="122">
        <v>44</v>
      </c>
      <c r="R359" s="123">
        <f>(Q359/12*2*$E359*$G359*$H359*$M359*$R$11)+(Q359/12*10*$F359*$G359*$H359*$M359*$R$11)</f>
        <v>1249249.6508800001</v>
      </c>
      <c r="S359" s="124">
        <v>101</v>
      </c>
      <c r="T359" s="125">
        <f>(S359/12*2*$E359*$G359*$H359*$M359*$R$11)+(S359/12*10*$F359*$G359*$H359*$M359*$R$11)</f>
        <v>2867595.7895200006</v>
      </c>
      <c r="U359" s="123">
        <v>70</v>
      </c>
      <c r="V359" s="123">
        <f>(U359/12*2*$E359*$G359*$H359*$M359*$V$11)+(U359/12*10*$F359*$G359*$H359*$M359*$V$12)</f>
        <v>2423234.1289333329</v>
      </c>
      <c r="W359" s="123"/>
      <c r="X359" s="126">
        <f>(W359/12*2*$E359*$G359*$H359*$M359*$X$11)+(W359/12*10*$F359*$G359*$H359*$M359*$X$12)</f>
        <v>0</v>
      </c>
      <c r="Y359" s="123"/>
      <c r="Z359" s="123">
        <f>(Y359/12*2*$E359*$G359*$H359*$M359*$Z$11)+(Y359/12*10*$F359*$G359*$H359*$M359*$Z$12)</f>
        <v>0</v>
      </c>
      <c r="AA359" s="123"/>
      <c r="AB359" s="123">
        <f>(AA359/12*2*$E359*$G359*$H359*$M359*$AB$11)+(AA359/12*10*$F359*$G359*$H359*$M359*$AB$11)</f>
        <v>0</v>
      </c>
      <c r="AC359" s="123"/>
      <c r="AD359" s="123"/>
      <c r="AE359" s="123">
        <v>25</v>
      </c>
      <c r="AF359" s="123">
        <f>(AE359/12*2*$E359*$G359*$H359*$M359*$AF$11)+(AE359/12*10*$F359*$G359*$H359*$M359*$AF$11)</f>
        <v>709800.93800000008</v>
      </c>
      <c r="AG359" s="123">
        <v>0</v>
      </c>
      <c r="AH359" s="126">
        <f>(AG359/12*2*$E359*$G359*$H359*$M359*$AH$11)+(AG359/12*10*$F359*$G359*$H359*$M359*$AH$11)</f>
        <v>0</v>
      </c>
      <c r="AI359" s="123">
        <v>2</v>
      </c>
      <c r="AJ359" s="123">
        <f t="shared" ref="AJ359:AJ360" si="510">(AI359/12*2*$E359*$G359*$H359*$M359*$AJ$11)+(AI359/12*5*$F359*$G359*$H359*$M359*$AJ$12)+(AI359/12*5*$F359*$G359*$H359*$M359*$AJ$13)</f>
        <v>66674.826586666662</v>
      </c>
      <c r="AK359" s="123">
        <v>166</v>
      </c>
      <c r="AL359" s="123">
        <f t="shared" ref="AL359:AL360" si="511">(AK359/12*2*$E359*$G359*$H359*$N359*$AL$11)+(AK359/12*5*$F359*$G359*$H359*$N359*$AL$12)++(AK359/12*5*$F359*$G359*$H359*$N359*$AL$13)</f>
        <v>6640812.7280320004</v>
      </c>
      <c r="AM359" s="132"/>
      <c r="AN359" s="123">
        <f>(AM359/12*2*$E359*$G359*$H359*$N359*$AN$11)+(AM359/12*10*$F359*$G359*$H359*$N359*$AN$12)</f>
        <v>0</v>
      </c>
      <c r="AO359" s="130"/>
      <c r="AP359" s="127">
        <f>(AO359/12*2*$E359*$G359*$H359*$N359*$AP$11)+(AO359/12*10*$F359*$G359*$H359*$N359*$AP$11)</f>
        <v>0</v>
      </c>
      <c r="AQ359" s="127">
        <v>5</v>
      </c>
      <c r="AR359" s="127">
        <v>168443.24000000002</v>
      </c>
      <c r="AS359" s="123"/>
      <c r="AT359" s="123">
        <f>(AS359/12*2*$E359*$G359*$H359*$M359*$AT$11)+(AS359/12*10*$F359*$G359*$H359*$M359*$AT$11)</f>
        <v>0</v>
      </c>
      <c r="AU359" s="123"/>
      <c r="AV359" s="126">
        <f>(AU359/12*2*$E359*$G359*$H359*$M359*$AV$11)+(AU359/12*10*$F359*$G359*$H359*$M359*$AV$12)</f>
        <v>0</v>
      </c>
      <c r="AW359" s="123"/>
      <c r="AX359" s="123">
        <f>(AW359/12*2*$E359*$G359*$H359*$M359*$AX$11)+(AW359/12*10*$F359*$G359*$H359*$M359*$AX$12)</f>
        <v>0</v>
      </c>
      <c r="AY359" s="123">
        <v>197</v>
      </c>
      <c r="AZ359" s="123">
        <f>(AY359/12*2*$E359*$G359*$H359*$N359*$AZ$11)+(AY359/12*10*$F359*$G359*$H359*$N359*$AZ$11)</f>
        <v>6711877.6697280025</v>
      </c>
      <c r="BA359" s="123"/>
      <c r="BB359" s="123">
        <f>(BA359/12*2*$E359*$G359*$H359*$N359*$BB$11)+(BA359/12*10*$F359*$G359*$H359*$N359*$BB$12)</f>
        <v>0</v>
      </c>
      <c r="BC359" s="123"/>
      <c r="BD359" s="126">
        <f>(BC359/12*2*$E359*$G359*$H359*$N359*$BD$11)+(BC359/12*10*$F359*$G359*$H359*$N359*$BD$12)</f>
        <v>0</v>
      </c>
      <c r="BE359" s="123">
        <v>10</v>
      </c>
      <c r="BF359" s="123">
        <f>(BE359/12*10*$F359*$G359*$H359*$N359*$BF$12)</f>
        <v>260175.44</v>
      </c>
      <c r="BG359" s="123"/>
      <c r="BH359" s="123">
        <f>(BG359/12*2*$E359*$G359*$H359*$N359*$BH$11)+(BG359/12*10*$F359*$G359*$H359*$N359*$BH$11)</f>
        <v>0</v>
      </c>
      <c r="BI359" s="123">
        <v>20</v>
      </c>
      <c r="BJ359" s="126">
        <f>(BI359/12*2*$E359*$G359*$H359*$N359*$BJ$11)+(BI359/12*10*$F359*$G359*$H359*$N359*$BJ$11)</f>
        <v>743355.16415999993</v>
      </c>
      <c r="BK359" s="123">
        <v>65</v>
      </c>
      <c r="BL359" s="127">
        <f>(BK359/12*2*$E359*$G359*$H359*$N359*$BL$11)+(BK359/12*10*$F359*$G359*$H359*$N359*$BL$11)</f>
        <v>2415904.2835200001</v>
      </c>
      <c r="BM359" s="123"/>
      <c r="BN359" s="123">
        <f>(BM359/12*2*$E359*$G359*$H359*$M359*$BN$11)+(BM359/12*10*$F359*$G359*$H359*$M359*$BN$11)</f>
        <v>0</v>
      </c>
      <c r="BO359" s="123"/>
      <c r="BP359" s="123">
        <f>(BO359/12*2*$E359*$G359*$H359*$M359*$BP$11)+(BO359/12*10*$F359*$G359*$H359*$M359*$BP$12)</f>
        <v>0</v>
      </c>
      <c r="BQ359" s="123"/>
      <c r="BR359" s="123">
        <f>(BQ359/12*2*$E359*$G359*$H359*$M359*$BR$11)+(BQ359/12*10*$F359*$G359*$H359*$M359*$BR$11)</f>
        <v>0</v>
      </c>
      <c r="BS359" s="123">
        <v>3</v>
      </c>
      <c r="BT359" s="123">
        <f>(BS359/12*2*$E359*$G359*$H359*$N359*$BT$11)+(BS359/12*10*$F359*$G359*$H359*$N359*$BT$11)</f>
        <v>92919.395519999991</v>
      </c>
      <c r="BU359" s="123"/>
      <c r="BV359" s="126">
        <f>(BU359/12*2*$E359*$G359*$H359*$M359*$BV$11)+(BU359/12*10*$F359*$G359*$H359*$M359*$BV$11)</f>
        <v>0</v>
      </c>
      <c r="BW359" s="123"/>
      <c r="BX359" s="123">
        <f>(BW359/12*2*$E359*$G359*$H359*$M359*$BX$11)+(BW359/12*10*$F359*$G359*$H359*$M359*$BX$11)</f>
        <v>0</v>
      </c>
      <c r="BY359" s="123">
        <v>6</v>
      </c>
      <c r="BZ359" s="123">
        <f>(BY359/12*2*$E359*$G359*$H359*$M359*$BZ$11)+(BY359/12*10*$F359*$G359*$H359*$M359*$BZ$11)</f>
        <v>154865.65919999999</v>
      </c>
      <c r="CA359" s="123">
        <v>30</v>
      </c>
      <c r="CB359" s="123">
        <f>(CA359/12*2*$E359*$G359*$H359*$M359*$CB$11)+(CA359/12*10*$F359*$G359*$H359*$M359*$CB$11)</f>
        <v>929193.95519999997</v>
      </c>
      <c r="CC359" s="123">
        <v>5</v>
      </c>
      <c r="CD359" s="123">
        <f>(CC359/12*2*$E359*$G359*$H359*$M359*$CD$11)+(CC359/12*10*$F359*$G359*$H359*$M359*$CD$11)</f>
        <v>129054.716</v>
      </c>
      <c r="CE359" s="123">
        <v>9</v>
      </c>
      <c r="CF359" s="123">
        <f>(CE359/12*10*$F359*$G359*$H359*$N359*$CF$11)</f>
        <v>234157.89600000001</v>
      </c>
      <c r="CG359" s="132"/>
      <c r="CH359" s="123">
        <f>(CG359/12*2*$E359*$G359*$H359*$N359*$CH$11)+(CG359/12*10*$F359*$G359*$H359*$N359*$CH$11)</f>
        <v>0</v>
      </c>
      <c r="CI359" s="123"/>
      <c r="CJ359" s="127"/>
      <c r="CK359" s="123"/>
      <c r="CL359" s="123">
        <f>(CK359/12*2*$E359*$G359*$H359*$N359*$CL$11)+(CK359/12*10*$F359*$G359*$H359*$N359*$CL$12)</f>
        <v>0</v>
      </c>
      <c r="CM359" s="130">
        <v>1</v>
      </c>
      <c r="CN359" s="123">
        <f>(CM359/12*2*$E359*$G359*$H359*$N359*$CN$11)+(CM359/12*10*$F359*$G359*$H359*$N359*$CN$11)</f>
        <v>30973.131839999995</v>
      </c>
      <c r="CO359" s="123"/>
      <c r="CP359" s="123">
        <f>(CO359/12*2*$E359*$G359*$H359*$N359*$CP$11)+(CO359/12*10*$F359*$G359*$H359*$N359*$CP$11)</f>
        <v>0</v>
      </c>
      <c r="CQ359" s="123"/>
      <c r="CR359" s="123">
        <f>(CQ359/12*2*$E359*$G359*$H359*$O359*$CR$11)+(CQ359/12*10*$F359*$G359*$H359*$O359*$CR$11)</f>
        <v>0</v>
      </c>
      <c r="CS359" s="123">
        <v>5</v>
      </c>
      <c r="CT359" s="133">
        <f>(CS359/12*2*$E359*$G359*$H359*$P359*$CT$11)+(CS359/12*10*$F359*$G359*$H359*$P359*$CT$11)</f>
        <v>236907.5858</v>
      </c>
      <c r="CU359" s="127"/>
      <c r="CV359" s="123">
        <f>(CU359*$E359*$G359*$H359*$M359*CV$11)/12*6+(CU359*$E359*$G359*$H359*1*CV$11)/12*6</f>
        <v>0</v>
      </c>
      <c r="CW359" s="126">
        <f t="shared" si="509"/>
        <v>764</v>
      </c>
      <c r="CX359" s="126">
        <f t="shared" si="509"/>
        <v>26065196.198920012</v>
      </c>
    </row>
    <row r="360" spans="1:102" ht="30" customHeight="1" x14ac:dyDescent="0.25">
      <c r="A360" s="91"/>
      <c r="B360" s="116">
        <v>289</v>
      </c>
      <c r="C360" s="117" t="s">
        <v>838</v>
      </c>
      <c r="D360" s="161" t="s">
        <v>839</v>
      </c>
      <c r="E360" s="95">
        <v>28004</v>
      </c>
      <c r="F360" s="96">
        <v>29405</v>
      </c>
      <c r="G360" s="119">
        <v>0.93</v>
      </c>
      <c r="H360" s="110">
        <v>0.85</v>
      </c>
      <c r="I360" s="108"/>
      <c r="J360" s="108"/>
      <c r="K360" s="108"/>
      <c r="L360" s="63"/>
      <c r="M360" s="120">
        <v>1.4</v>
      </c>
      <c r="N360" s="120">
        <v>1.68</v>
      </c>
      <c r="O360" s="120">
        <v>2.23</v>
      </c>
      <c r="P360" s="121">
        <v>2.57</v>
      </c>
      <c r="Q360" s="122">
        <v>77</v>
      </c>
      <c r="R360" s="123">
        <f>(Q360/12*2*$E360*$G360*$H360*$M360*$R$11)+(Q360/12*10*$F360*$G360*$H360*$M360*$R$11)</f>
        <v>2734463.1895349999</v>
      </c>
      <c r="S360" s="124">
        <v>30</v>
      </c>
      <c r="T360" s="125">
        <f>(S360/12*2*$E360*$G360*$H360*$M360*$R$11)+(S360/12*10*$F360*$G360*$H360*$M360*$R$11)</f>
        <v>1065375.26865</v>
      </c>
      <c r="U360" s="123">
        <v>310</v>
      </c>
      <c r="V360" s="123">
        <f>(U360/12*2*$E360*$G360*$H360*$M360*$V$11)+(U360/12*10*$F360*$G360*$H360*$M360*$V$12)</f>
        <v>13422821.868574999</v>
      </c>
      <c r="W360" s="123"/>
      <c r="X360" s="126">
        <f>(W360/12*2*$E360*$G360*$H360*$M360*$X$11)+(W360/12*10*$F360*$G360*$H360*$M360*$X$12)</f>
        <v>0</v>
      </c>
      <c r="Y360" s="123"/>
      <c r="Z360" s="123">
        <f>(Y360/12*2*$E360*$G360*$H360*$M360*$Z$11)+(Y360/12*10*$F360*$G360*$H360*$M360*$Z$12)</f>
        <v>0</v>
      </c>
      <c r="AA360" s="123"/>
      <c r="AB360" s="123">
        <f>(AA360/12*2*$E360*$G360*$H360*$M360*$AB$11)+(AA360/12*10*$F360*$G360*$H360*$M360*$AB$11)</f>
        <v>0</v>
      </c>
      <c r="AC360" s="123"/>
      <c r="AD360" s="123"/>
      <c r="AE360" s="123"/>
      <c r="AF360" s="123">
        <f>(AE360/12*2*$E360*$G360*$H360*$M360*$AF$11)+(AE360/12*10*$F360*$G360*$H360*$M360*$AF$11)</f>
        <v>0</v>
      </c>
      <c r="AG360" s="123">
        <v>0</v>
      </c>
      <c r="AH360" s="126">
        <f>(AG360/12*2*$E360*$G360*$H360*$M360*$AH$11)+(AG360/12*10*$F360*$G360*$H360*$M360*$AH$11)</f>
        <v>0</v>
      </c>
      <c r="AI360" s="123"/>
      <c r="AJ360" s="123">
        <f t="shared" si="510"/>
        <v>0</v>
      </c>
      <c r="AK360" s="123">
        <v>290</v>
      </c>
      <c r="AL360" s="123">
        <f t="shared" si="511"/>
        <v>14510953.121070001</v>
      </c>
      <c r="AM360" s="129">
        <v>2</v>
      </c>
      <c r="AN360" s="123">
        <f>(AM360/12*2*$E360*$G360*$H360*$N360*$AN$11)+(AM360/12*10*$F360*$G360*$H360*$N360*$AN$12)</f>
        <v>103918.620918</v>
      </c>
      <c r="AO360" s="130"/>
      <c r="AP360" s="127">
        <f>(AO360/12*2*$E360*$G360*$H360*$N360*$AP$11)+(AO360/12*10*$F360*$G360*$H360*$N360*$AP$11)</f>
        <v>0</v>
      </c>
      <c r="AQ360" s="127">
        <v>0</v>
      </c>
      <c r="AR360" s="127">
        <v>0</v>
      </c>
      <c r="AS360" s="123"/>
      <c r="AT360" s="123">
        <f>(AS360/12*2*$E360*$G360*$H360*$M360*$AT$11)+(AS360/12*10*$F360*$G360*$H360*$M360*$AT$11)</f>
        <v>0</v>
      </c>
      <c r="AU360" s="123"/>
      <c r="AV360" s="126">
        <f>(AU360/12*2*$E360*$G360*$H360*$M360*$AV$11)+(AU360/12*10*$F360*$G360*$H360*$M360*$AV$12)</f>
        <v>0</v>
      </c>
      <c r="AW360" s="123"/>
      <c r="AX360" s="123">
        <f>(AW360/12*2*$E360*$G360*$H360*$M360*$AX$11)+(AW360/12*10*$F360*$G360*$H360*$M360*$AX$12)</f>
        <v>0</v>
      </c>
      <c r="AY360" s="123">
        <v>98</v>
      </c>
      <c r="AZ360" s="123">
        <f>(AY360/12*2*$E360*$G360*$H360*$N360*$AZ$11)+(AY360/12*10*$F360*$G360*$H360*$N360*$AZ$11)</f>
        <v>4176271.0531080002</v>
      </c>
      <c r="BA360" s="123"/>
      <c r="BB360" s="123">
        <f>(BA360/12*2*$E360*$G360*$H360*$N360*$BB$11)+(BA360/12*10*$F360*$G360*$H360*$N360*$BB$12)</f>
        <v>0</v>
      </c>
      <c r="BC360" s="123"/>
      <c r="BD360" s="126">
        <f>(BC360/12*2*$E360*$G360*$H360*$N360*$BD$11)+(BC360/12*10*$F360*$G360*$H360*$N360*$BD$12)</f>
        <v>0</v>
      </c>
      <c r="BE360" s="123">
        <v>10</v>
      </c>
      <c r="BF360" s="123">
        <f>(BE360/12*10*$F360*$G360*$H360*$N360*$BF$12)</f>
        <v>325425.13500000001</v>
      </c>
      <c r="BG360" s="123"/>
      <c r="BH360" s="123">
        <f>(BG360/12*2*$E360*$G360*$H360*$N360*$BH$11)+(BG360/12*10*$F360*$G360*$H360*$N360*$BH$11)</f>
        <v>0</v>
      </c>
      <c r="BI360" s="123">
        <v>0</v>
      </c>
      <c r="BJ360" s="126">
        <f>(BI360/12*2*$E360*$G360*$H360*$N360*$BJ$11)+(BI360/12*10*$F360*$G360*$H360*$N360*$BJ$11)</f>
        <v>0</v>
      </c>
      <c r="BK360" s="123">
        <v>20</v>
      </c>
      <c r="BL360" s="127">
        <f>(BK360/12*2*$E360*$G360*$H360*$N360*$BL$11)+(BK360/12*10*$F360*$G360*$H360*$N360*$BL$11)</f>
        <v>929782.05264000001</v>
      </c>
      <c r="BM360" s="123"/>
      <c r="BN360" s="123">
        <f>(BM360/12*2*$E360*$G360*$H360*$M360*$BN$11)+(BM360/12*10*$F360*$G360*$H360*$M360*$BN$11)</f>
        <v>0</v>
      </c>
      <c r="BO360" s="123"/>
      <c r="BP360" s="123">
        <f>(BO360/12*2*$E360*$G360*$H360*$M360*$BP$11)+(BO360/12*10*$F360*$G360*$H360*$M360*$BP$12)</f>
        <v>0</v>
      </c>
      <c r="BQ360" s="123"/>
      <c r="BR360" s="123">
        <f>(BQ360/12*2*$E360*$G360*$H360*$M360*$BR$11)+(BQ360/12*10*$F360*$G360*$H360*$M360*$BR$11)</f>
        <v>0</v>
      </c>
      <c r="BS360" s="123">
        <v>3</v>
      </c>
      <c r="BT360" s="123">
        <f>(BS360/12*2*$E360*$G360*$H360*$N360*$BT$11)+(BS360/12*10*$F360*$G360*$H360*$N360*$BT$11)</f>
        <v>116222.75657999999</v>
      </c>
      <c r="BU360" s="123"/>
      <c r="BV360" s="126">
        <f>(BU360/12*2*$E360*$G360*$H360*$M360*$BV$11)+(BU360/12*10*$F360*$G360*$H360*$M360*$BV$11)</f>
        <v>0</v>
      </c>
      <c r="BW360" s="123"/>
      <c r="BX360" s="123">
        <f>(BW360/12*2*$E360*$G360*$H360*$M360*$BX$11)+(BW360/12*10*$F360*$G360*$H360*$M360*$BX$11)</f>
        <v>0</v>
      </c>
      <c r="BY360" s="123"/>
      <c r="BZ360" s="123">
        <f>(BY360/12*2*$E360*$G360*$H360*$M360*$BZ$11)+(BY360/12*10*$F360*$G360*$H360*$M360*$BZ$11)</f>
        <v>0</v>
      </c>
      <c r="CA360" s="123">
        <v>6</v>
      </c>
      <c r="CB360" s="123">
        <f>(CA360/12*2*$E360*$G360*$H360*$M360*$CB$11)+(CA360/12*10*$F360*$G360*$H360*$M360*$CB$11)</f>
        <v>232445.51315999997</v>
      </c>
      <c r="CC360" s="123">
        <v>2</v>
      </c>
      <c r="CD360" s="123">
        <f>(CC360/12*2*$E360*$G360*$H360*$M360*$CD$11)+(CC360/12*10*$F360*$G360*$H360*$M360*$CD$11)</f>
        <v>64568.198099999994</v>
      </c>
      <c r="CE360" s="123">
        <v>6</v>
      </c>
      <c r="CF360" s="123">
        <f>(CE360/12*10*$F360*$G360*$H360*$N360*$CF$11)</f>
        <v>195255.08099999998</v>
      </c>
      <c r="CG360" s="132"/>
      <c r="CH360" s="123">
        <f>(CG360/12*2*$E360*$G360*$H360*$N360*$CH$11)+(CG360/12*10*$F360*$G360*$H360*$N360*$CH$11)</f>
        <v>0</v>
      </c>
      <c r="CI360" s="123"/>
      <c r="CJ360" s="127"/>
      <c r="CK360" s="123"/>
      <c r="CL360" s="123">
        <f>(CK360/12*2*$E360*$G360*$H360*$N360*$CL$11)+(CK360/12*10*$F360*$G360*$H360*$N360*$CL$12)</f>
        <v>0</v>
      </c>
      <c r="CM360" s="130"/>
      <c r="CN360" s="123">
        <f>(CM360/12*2*$E360*$G360*$H360*$N360*$CN$11)+(CM360/12*10*$F360*$G360*$H360*$N360*$CN$11)</f>
        <v>0</v>
      </c>
      <c r="CO360" s="123"/>
      <c r="CP360" s="123">
        <f>(CO360/12*2*$E360*$G360*$H360*$N360*$CP$11)+(CO360/12*10*$F360*$G360*$H360*$N360*$CP$11)</f>
        <v>0</v>
      </c>
      <c r="CQ360" s="123"/>
      <c r="CR360" s="123">
        <f>(CQ360/12*2*$E360*$G360*$H360*$O360*$CR$11)+(CQ360/12*10*$F360*$G360*$H360*$O360*$CR$11)</f>
        <v>0</v>
      </c>
      <c r="CS360" s="123">
        <v>1</v>
      </c>
      <c r="CT360" s="133">
        <f>(CS360/12*2*$E360*$G360*$H360*$P360*$CT$11)+(CS360/12*10*$F360*$G360*$H360*$P360*$CT$11)</f>
        <v>59264.381827499994</v>
      </c>
      <c r="CU360" s="127"/>
      <c r="CV360" s="123">
        <f>(CU360*$E360*$G360*$H360*$M360*CV$11)/12*6+(CU360*$E360*$G360*$H360*1*CV$11)/12*6</f>
        <v>0</v>
      </c>
      <c r="CW360" s="126">
        <f t="shared" si="509"/>
        <v>855</v>
      </c>
      <c r="CX360" s="126">
        <f t="shared" si="509"/>
        <v>37936766.240163498</v>
      </c>
    </row>
    <row r="361" spans="1:102" ht="30" customHeight="1" x14ac:dyDescent="0.25">
      <c r="A361" s="91"/>
      <c r="B361" s="116">
        <v>290</v>
      </c>
      <c r="C361" s="117" t="s">
        <v>840</v>
      </c>
      <c r="D361" s="161" t="s">
        <v>841</v>
      </c>
      <c r="E361" s="95">
        <v>28004</v>
      </c>
      <c r="F361" s="96">
        <v>29405</v>
      </c>
      <c r="G361" s="119">
        <v>1.37</v>
      </c>
      <c r="H361" s="110">
        <v>0.9</v>
      </c>
      <c r="I361" s="110">
        <v>0.85</v>
      </c>
      <c r="J361" s="108"/>
      <c r="K361" s="108"/>
      <c r="L361" s="63"/>
      <c r="M361" s="120">
        <v>1.4</v>
      </c>
      <c r="N361" s="120">
        <v>1.68</v>
      </c>
      <c r="O361" s="120">
        <v>2.23</v>
      </c>
      <c r="P361" s="121">
        <v>2.57</v>
      </c>
      <c r="Q361" s="235">
        <v>240</v>
      </c>
      <c r="R361" s="123">
        <f>(Q361/12*2*$E361*$G361*$H361*$M361*$R$11)+(Q361/12*10*$F361*$G361*$I361*$M361*$R$11)</f>
        <v>12673555.941200003</v>
      </c>
      <c r="S361" s="124">
        <v>1138</v>
      </c>
      <c r="T361" s="125">
        <f>(S361/12*2*$E361*$G361*$H361*$M361*$R$11)+(S361/12*10*$F361*$G361*$I361*$M361*$R$11)</f>
        <v>60093777.754523344</v>
      </c>
      <c r="U361" s="123">
        <v>280</v>
      </c>
      <c r="V361" s="123">
        <f>(U361/12*2*$E361*$G361*$H361*$M361*$V$11)+(U361/12*10*$F361*$G361*$I361*$M361*$V$12)</f>
        <v>18035307.135766666</v>
      </c>
      <c r="W361" s="123"/>
      <c r="X361" s="126">
        <f>(W361/12*2*$E361*$G361*$H361*$M361*$X$11)+(W361/12*10*$F361*$G361*$I361*$M361*$X$12)</f>
        <v>0</v>
      </c>
      <c r="Y361" s="123"/>
      <c r="Z361" s="123">
        <f>(Y361/12*2*$E361*$G361*$H361*$M361*$Z$11)+(Y361/12*10*$F361*$G361*$I361*$M361*$Z$12)</f>
        <v>0</v>
      </c>
      <c r="AA361" s="123"/>
      <c r="AB361" s="123">
        <f>(AA361/12*2*$E361*$G361*$H361*$M361*$AB$11)+(AA361/12*10*$F361*$G361*$I361*$M361*$AB$11)</f>
        <v>0</v>
      </c>
      <c r="AC361" s="123"/>
      <c r="AD361" s="123"/>
      <c r="AE361" s="123">
        <v>55</v>
      </c>
      <c r="AF361" s="127">
        <f>(AE361/12*2*$E361*$G361*$H361*$M361*$AF$11)+(AE361/12*10*$F361*$G361*$I361*$M361*$AF$11)</f>
        <v>2904356.5698583336</v>
      </c>
      <c r="AG361" s="123">
        <v>25</v>
      </c>
      <c r="AH361" s="126">
        <f>(AG361/12*2*$E361*$G361*$H361*$M361*$AH$11)+(AG361/12*10*$F361*$G361*$I361*$M361*$AH$11)</f>
        <v>1320162.0772083336</v>
      </c>
      <c r="AI361" s="130">
        <v>130</v>
      </c>
      <c r="AJ361" s="123">
        <f>(AI361/12*2*$E361*$G361*$H361*$M361*$AJ$11)+(AI361/12*5*$F361*$G361*$I361*$M361*$AJ$12)+(AI361/12*5*$F361*$G361*$I361*$M361*$AJ$13)</f>
        <v>8061062.1523250015</v>
      </c>
      <c r="AK361" s="123">
        <v>210</v>
      </c>
      <c r="AL361" s="123">
        <f>(AK361/12*2*$E361*$G361*$H361*$N361*$AL$11)+(AK361/12*5*$F361*$G361*$I361*$N361*$AL$12)+(AK361/12*5*$F361*$G361*$I361*$N361*$AL$13)</f>
        <v>15626058.941430001</v>
      </c>
      <c r="AM361" s="132"/>
      <c r="AN361" s="123">
        <f>(AM361/12*2*$E361*$G361*$H361*$N361*$AN$11)+(AM361/12*10*$F361*$G361*$I361*$N361*$AN$12)</f>
        <v>0</v>
      </c>
      <c r="AO361" s="130"/>
      <c r="AP361" s="127">
        <f>(AO361/12*2*$E361*$G361*$H361*$N361*$AP$11)+(AO361/12*10*$F361*$G361*$I361*$N361*$AP$11)</f>
        <v>0</v>
      </c>
      <c r="AQ361" s="127">
        <v>1</v>
      </c>
      <c r="AR361" s="127">
        <v>63279.44</v>
      </c>
      <c r="AS361" s="123"/>
      <c r="AT361" s="123"/>
      <c r="AU361" s="123"/>
      <c r="AV361" s="126"/>
      <c r="AW361" s="123"/>
      <c r="AX361" s="123">
        <f>(AW361/12*2*$E361*$G361*$H361*$M361*$AX$11)+(AW361/12*10*$F361*$G361*$I361*$M361*$AX$12)</f>
        <v>0</v>
      </c>
      <c r="AY361" s="123">
        <v>129</v>
      </c>
      <c r="AZ361" s="123">
        <f>(AY361/12*2*$E361*$G361*$H361*$N361*$AZ$11)+(AY361/12*10*$F361*$G361*$I361*$N361*$AZ$11)</f>
        <v>8174443.5820739996</v>
      </c>
      <c r="BA361" s="123"/>
      <c r="BB361" s="123">
        <f>(BA361/12*2*$E361*$G361*$H361*$N361*$BB$11)+(BA361/12*10*$F361*$G361*$I361*$N361*$BB$12)</f>
        <v>0</v>
      </c>
      <c r="BC361" s="123"/>
      <c r="BD361" s="126"/>
      <c r="BE361" s="123">
        <v>8</v>
      </c>
      <c r="BF361" s="123">
        <f>(BE361/12*10*$F361*$G361*$I361*$N361*$BF$12)</f>
        <v>383511.772</v>
      </c>
      <c r="BG361" s="123"/>
      <c r="BH361" s="123">
        <f>(BG361/12*2*$E361*$G361*$H361*$N361*$BH$11)+(BG361/12*10*$F361*$G361*$I361*$N361*$BH$11)</f>
        <v>0</v>
      </c>
      <c r="BI361" s="123">
        <v>16</v>
      </c>
      <c r="BJ361" s="126">
        <f>(BI361/12*2*$E361*$G361*$H361*$N361*$BJ$11)+(BI361/12*10*$F361*$G361*$I361*$N361*$BJ$11)</f>
        <v>1106055.7912320001</v>
      </c>
      <c r="BK361" s="123">
        <v>55</v>
      </c>
      <c r="BL361" s="127">
        <f>(BK361/12*2*$E361*$G361*$H361*$N361*$BL$11)+(BK361/12*10*$F361*$G361*$I361*$N361*$BL$11)</f>
        <v>3802066.7823599996</v>
      </c>
      <c r="BM361" s="123"/>
      <c r="BN361" s="123">
        <f>(BM361/12*2*$E361*$G361*$H361*$M361*$BN$11)+(BM361/12*10*$F361*$G361*$I361*$M361*$BN$11)</f>
        <v>0</v>
      </c>
      <c r="BO361" s="123"/>
      <c r="BP361" s="123">
        <f>(BO361/12*2*$E361*$G361*$H361*$M361*$BP$11)+(BO361/12*10*$F361*$G361*$I361*$M361*$BP$12)</f>
        <v>0</v>
      </c>
      <c r="BQ361" s="123"/>
      <c r="BR361" s="123">
        <f>(BQ361/12*2*$E361*$G361*$H361*$M361*$BR$11)+(BQ361/12*10*$F361*$G361*$I361*$M361*$BR$11)</f>
        <v>0</v>
      </c>
      <c r="BS361" s="123">
        <v>4</v>
      </c>
      <c r="BT361" s="123">
        <f>(BS361/12*2*$E361*$G361*$H361*$N361*$BT$11)+(BS361/12*10*$F361*$G361*$I361*$N361*$BT$11)</f>
        <v>230428.28983999998</v>
      </c>
      <c r="BU361" s="123"/>
      <c r="BV361" s="126">
        <f>(BU361/12*2*$E361*$G361*$H361*$M361*$BV$11)+(BU361/12*10*$F361*$G361*$I361*$M361*$BV$11)</f>
        <v>0</v>
      </c>
      <c r="BW361" s="123"/>
      <c r="BX361" s="123">
        <f>(BW361/12*2*$E361*$G361*$H361*$M361*$BX$11)+(BW361/12*10*$F361*$G361*$I361*$M361*$BX$11)</f>
        <v>0</v>
      </c>
      <c r="BY361" s="123">
        <v>10</v>
      </c>
      <c r="BZ361" s="123">
        <f>(BY361/12*2*$E361*$G361*$H361*$M361*$BZ$11)+(BY361/12*10*$F361*$G361*$I361*$M361*$BZ$11)</f>
        <v>480058.93716666673</v>
      </c>
      <c r="CA361" s="123">
        <v>21</v>
      </c>
      <c r="CB361" s="123">
        <f>(CA361/12*2*$E361*$G361*$H361*$M361*$CB$11)+(CA361/12*10*$F361*$G361*$I361*$M361*$CB$11)</f>
        <v>1209748.5216599999</v>
      </c>
      <c r="CC361" s="123">
        <v>14</v>
      </c>
      <c r="CD361" s="123">
        <f>(CC361/12*2*$E361*$G361*$H361*$M361*$CD$11)+(CC361/12*10*$F361*$G361*$I361*$M361*$CD$11)</f>
        <v>672082.51203333342</v>
      </c>
      <c r="CE361" s="123">
        <v>2</v>
      </c>
      <c r="CF361" s="123">
        <f>(CE361/12*10*$F361*$G361*$I361*$N361*$CF$11)</f>
        <v>95877.942999999999</v>
      </c>
      <c r="CG361" s="132"/>
      <c r="CH361" s="123">
        <f>(CG361/12*2*$E361*$G361*$H361*$N361*$CH$11)+(CG361/12*10*$F361*$G361*$I361*$N361*$CH$11)</f>
        <v>0</v>
      </c>
      <c r="CI361" s="123">
        <v>5</v>
      </c>
      <c r="CJ361" s="123">
        <f>(CI361*$F361*$G361*$I361*$M361*CJ$11)</f>
        <v>239694.85750000001</v>
      </c>
      <c r="CK361" s="123"/>
      <c r="CL361" s="123">
        <f>(CK361/12*2*$E361*$G361*$H361*$N361*$CL$11)+(CK361/12*10*$F361*$G361*$I361*$N361*$CL$12)</f>
        <v>0</v>
      </c>
      <c r="CM361" s="130"/>
      <c r="CN361" s="123">
        <f>(CM361/12*2*$E361*$G361*$H361*$N361*$CN$11)+(CM361/12*10*$F361*$G361*$I361*$N361*$CN$11)</f>
        <v>0</v>
      </c>
      <c r="CO361" s="123"/>
      <c r="CP361" s="123">
        <f>(CO361/12*2*$E361*$G361*$H361*$N361*$CP$11)+(CO361/12*10*$F361*$G361*$I361*$N361*$CP$11)</f>
        <v>0</v>
      </c>
      <c r="CQ361" s="123"/>
      <c r="CR361" s="123">
        <f>(CQ361/12*2*$E361*$G361*$H361*$O361*$CR$11)+(CQ361/12*10*$F361*$G361*$I361*$O361*$CR$11)</f>
        <v>0</v>
      </c>
      <c r="CS361" s="123"/>
      <c r="CT361" s="133">
        <f>(CS361/12*2*$E361*$G361*$H361*$P361*$CT$11)+(CS361/12*10*$F361*$G361*$I361*$P361*$CT$11)</f>
        <v>0</v>
      </c>
      <c r="CU361" s="127"/>
      <c r="CV361" s="123"/>
      <c r="CW361" s="126">
        <f t="shared" si="509"/>
        <v>2343</v>
      </c>
      <c r="CX361" s="126">
        <f t="shared" si="509"/>
        <v>135171529.00117767</v>
      </c>
    </row>
    <row r="362" spans="1:102" ht="30" customHeight="1" x14ac:dyDescent="0.25">
      <c r="A362" s="91"/>
      <c r="B362" s="116">
        <v>291</v>
      </c>
      <c r="C362" s="117" t="s">
        <v>842</v>
      </c>
      <c r="D362" s="161" t="s">
        <v>843</v>
      </c>
      <c r="E362" s="95">
        <v>28004</v>
      </c>
      <c r="F362" s="96">
        <v>29405</v>
      </c>
      <c r="G362" s="119">
        <v>2.42</v>
      </c>
      <c r="H362" s="110">
        <v>0.95</v>
      </c>
      <c r="I362" s="110">
        <v>0.9</v>
      </c>
      <c r="J362" s="203"/>
      <c r="K362" s="203"/>
      <c r="L362" s="63"/>
      <c r="M362" s="120">
        <v>1.4</v>
      </c>
      <c r="N362" s="120">
        <v>1.68</v>
      </c>
      <c r="O362" s="120">
        <v>2.23</v>
      </c>
      <c r="P362" s="121">
        <v>2.57</v>
      </c>
      <c r="Q362" s="122">
        <v>180</v>
      </c>
      <c r="R362" s="123">
        <f>(Q362/12*2*$E362*$G362*$H362*$M362)+(Q362/12*10*$F362*$G362*$I362*$M362)</f>
        <v>16153269.131999999</v>
      </c>
      <c r="S362" s="124">
        <v>222</v>
      </c>
      <c r="T362" s="125">
        <f>(S362/12*2*$E362*$G362*$H362*$M362)+(S362/12*10*$F362*$G362*$I362*$M362)</f>
        <v>19922365.262799997</v>
      </c>
      <c r="U362" s="123">
        <v>16</v>
      </c>
      <c r="V362" s="123">
        <f>(U362/12*2*$E362*$G362*$H362*$M362)+(U362/12*10*$F362*$G362*$I362*$M362)</f>
        <v>1435846.1450666664</v>
      </c>
      <c r="W362" s="123"/>
      <c r="X362" s="123">
        <f>(W362/12*2*$E362*$G362*$H362*$M362)+(W362/12*10*$F362*$G362*$I362*$M362)</f>
        <v>0</v>
      </c>
      <c r="Y362" s="123"/>
      <c r="Z362" s="123">
        <f>(Y362/12*2*$E362*$G362*$H362*$M362)+(Y362/12*10*$F362*$G362*$I362*$M362)</f>
        <v>0</v>
      </c>
      <c r="AA362" s="123"/>
      <c r="AB362" s="123">
        <f>(AA362*$E362*$G362*$H362*$M362)/12*2+(AA362*$F362*$G362*$I362*$M362)/12*10</f>
        <v>0</v>
      </c>
      <c r="AC362" s="123"/>
      <c r="AD362" s="123"/>
      <c r="AE362" s="123">
        <v>10</v>
      </c>
      <c r="AF362" s="123">
        <f>(AE362/12*2*$E362*$G362*$H362*$M362)+(AE362/12*10*$F362*$G362*$I362*$M362)</f>
        <v>897403.84066666663</v>
      </c>
      <c r="AG362" s="135">
        <v>0</v>
      </c>
      <c r="AH362" s="135">
        <f>(AG362/12*2*$E362*$G362*$H362*$M362)+(AG362/12*10*$F362*$G362*$I362*$M362)</f>
        <v>0</v>
      </c>
      <c r="AI362" s="123"/>
      <c r="AJ362" s="123">
        <f>(AI362/12*2*$E362*$G362*$H362*$M362)+(AI362/12*10*$F362*$G362*$I362*$M362)</f>
        <v>0</v>
      </c>
      <c r="AK362" s="123">
        <v>90</v>
      </c>
      <c r="AL362" s="126">
        <f>(AK362/12*2*$E362*$G362*$H362*$N362)+(AK362/12*10*$F362*$G362*$I362*$N362)</f>
        <v>9691961.4791999999</v>
      </c>
      <c r="AM362" s="129"/>
      <c r="AN362" s="123">
        <f>(AM362/12*2*$E362*$G362*$H362*$N362)+(AM362/12*10*$F362*$G362*$I362*$N362)</f>
        <v>0</v>
      </c>
      <c r="AO362" s="130"/>
      <c r="AP362" s="123">
        <f>(AO362/12*2*$E362*$G362*$H362*$N362)+(AO362/12*10*$F362*$G362*$I362*$N362)</f>
        <v>0</v>
      </c>
      <c r="AQ362" s="123">
        <v>0</v>
      </c>
      <c r="AR362" s="123">
        <v>0</v>
      </c>
      <c r="AS362" s="123"/>
      <c r="AT362" s="123">
        <f>(AS362*$E362*$G362*$H362*$M362)/12*3+(AS362*$F362*$G362*$I362*$M362)/12*9</f>
        <v>0</v>
      </c>
      <c r="AU362" s="123"/>
      <c r="AV362" s="123"/>
      <c r="AW362" s="123"/>
      <c r="AX362" s="123">
        <f>(AW362/12*2*$E362*$G362*$H362*$M362)+(AW362/12*10*$F362*$G362*$I362*$M362)</f>
        <v>0</v>
      </c>
      <c r="AY362" s="123">
        <v>13</v>
      </c>
      <c r="AZ362" s="123">
        <f>(AY362/12*2*$E362*$G362*$H362*$N362)+(AY362/12*10*$F362*$G362*$I362*$N362)</f>
        <v>1399949.9914399998</v>
      </c>
      <c r="BA362" s="123"/>
      <c r="BB362" s="123">
        <f>(BA362/12*2*$E362*$G362*$H362*$N362)+(BA362/12*10*$F362*$G362*$I362*$N362)</f>
        <v>0</v>
      </c>
      <c r="BC362" s="123"/>
      <c r="BD362" s="123">
        <f>(BC362/12*2*$E362*$G362*$H362*$N362)+(BC362/12*10*$F362*$G362*$I362*$N362)</f>
        <v>0</v>
      </c>
      <c r="BE362" s="123">
        <v>1</v>
      </c>
      <c r="BF362" s="123">
        <f>(BE362/12*10*$F362*$G362*$I362*$N362)</f>
        <v>89661.725999999995</v>
      </c>
      <c r="BG362" s="123"/>
      <c r="BH362" s="123">
        <f>(BG362/12*2*$E362*$G362*$H362*$N362)+(BG362/12*10*$F362*$G362*$I362*$N362)</f>
        <v>0</v>
      </c>
      <c r="BI362" s="123">
        <v>3</v>
      </c>
      <c r="BJ362" s="123">
        <f>(BI362/12*2*$E362*$G362*$H362*$N362)+(BI362/12*10*$F362*$G362*$I362*$N362)</f>
        <v>323065.38264000003</v>
      </c>
      <c r="BK362" s="123">
        <v>1</v>
      </c>
      <c r="BL362" s="123">
        <f>(BK362/12*2*$E362*$G362*$H362*$N362)+(BK362/12*10*$F362*$G362*$I362*$N362)</f>
        <v>107688.46087999998</v>
      </c>
      <c r="BM362" s="123"/>
      <c r="BN362" s="123"/>
      <c r="BO362" s="123"/>
      <c r="BP362" s="123">
        <f>(BO362/12*2*$E362*$G362*$H362*$M362)+(BO362/12*10*$F362*$G362*$I362*$M362)</f>
        <v>0</v>
      </c>
      <c r="BQ362" s="123"/>
      <c r="BR362" s="123">
        <f>(BQ362/12*2*$E362*$G362*$H362*$M362)+(BQ362/12*10*$F362*$G362*$I362*$M362)</f>
        <v>0</v>
      </c>
      <c r="BS362" s="123"/>
      <c r="BT362" s="123">
        <f>(BS362/12*2*$E362*$G362*$H362*$N362)+(BS362/12*10*$F362*$G362*$I362*$N362)</f>
        <v>0</v>
      </c>
      <c r="BU362" s="123"/>
      <c r="BV362" s="123">
        <f>(BU362/12*2*$E362*$G362*$H362*$M362)+(BU362/12*10*$F362*$G362*$I362*$M362)</f>
        <v>0</v>
      </c>
      <c r="BW362" s="123"/>
      <c r="BX362" s="123">
        <f>(BW362/12*2*$E362*$G362*$H362*$M362)+(BW362/12*10*$F362*$G362*$I362*$M362)</f>
        <v>0</v>
      </c>
      <c r="BY362" s="123"/>
      <c r="BZ362" s="123">
        <f>(BY362/12*2*$E362*$G362*$H362*$M362)+(BY362/12*10*$F362*$G362*$I362*$M362)</f>
        <v>0</v>
      </c>
      <c r="CA362" s="123"/>
      <c r="CB362" s="123">
        <f>(CA362/12*2*$E362*$G362*$H362*$M362)+(CA362/12*10*$F362*$G362*$I362*$M362)</f>
        <v>0</v>
      </c>
      <c r="CC362" s="123"/>
      <c r="CD362" s="123">
        <f>(CC362/12*2*$E362*$G362*$H362*$M362)+(CC362/12*10*$F362*$G362*$I362*$M362)</f>
        <v>0</v>
      </c>
      <c r="CE362" s="123">
        <v>2</v>
      </c>
      <c r="CF362" s="123">
        <f>(CE362/12*10*$F362*$G362*$I362*$N362)</f>
        <v>179323.45199999999</v>
      </c>
      <c r="CG362" s="132"/>
      <c r="CH362" s="123">
        <f>(CG362/12*2*$E362*$G362*$H362*$N362)+(CG362/12*10*$F362*$G362*$I362*$N362)</f>
        <v>0</v>
      </c>
      <c r="CI362" s="123">
        <v>5</v>
      </c>
      <c r="CJ362" s="127">
        <f>(CI362*$F362*$G362*$I362*$M362)</f>
        <v>448308.63</v>
      </c>
      <c r="CK362" s="123"/>
      <c r="CL362" s="123">
        <f>(CK362/12*2*$E362*$G362*$H362*$N362)+(CK362/12*10*$F362*$G362*$I362*$N362)</f>
        <v>0</v>
      </c>
      <c r="CM362" s="130"/>
      <c r="CN362" s="123">
        <f>(CM362/12*2*$E362*$G362*$H362*$N362)+(CM362/12*10*$F362*$G362*$I362*$N362)</f>
        <v>0</v>
      </c>
      <c r="CO362" s="123"/>
      <c r="CP362" s="123">
        <f>(CO362/12*2*$E362*$G362*$H362*$N362)+(CO362/12*10*$F362*$G362*$I362*$N362)</f>
        <v>0</v>
      </c>
      <c r="CQ362" s="123"/>
      <c r="CR362" s="123">
        <f>(CQ362/12*2*$E362*$G362*$H362*$O362)+(CQ362/12*10*$F362*$G362*$I362*$O362)</f>
        <v>0</v>
      </c>
      <c r="CS362" s="123"/>
      <c r="CT362" s="127">
        <f>(CS362/12*2*$E362*$G362*$H362*$P362)+(CS362/12*10*$F362*$G362*$I362*$P362)</f>
        <v>0</v>
      </c>
      <c r="CU362" s="127"/>
      <c r="CV362" s="127"/>
      <c r="CW362" s="126">
        <f t="shared" si="509"/>
        <v>543</v>
      </c>
      <c r="CX362" s="126">
        <f t="shared" si="509"/>
        <v>50648843.502693318</v>
      </c>
    </row>
    <row r="363" spans="1:102" ht="30" customHeight="1" x14ac:dyDescent="0.25">
      <c r="A363" s="91"/>
      <c r="B363" s="116">
        <v>292</v>
      </c>
      <c r="C363" s="117" t="s">
        <v>844</v>
      </c>
      <c r="D363" s="161" t="s">
        <v>845</v>
      </c>
      <c r="E363" s="95">
        <v>28004</v>
      </c>
      <c r="F363" s="96">
        <v>29405</v>
      </c>
      <c r="G363" s="119">
        <v>3.15</v>
      </c>
      <c r="H363" s="110">
        <v>0.95</v>
      </c>
      <c r="I363" s="110">
        <v>0.9</v>
      </c>
      <c r="J363" s="203"/>
      <c r="K363" s="203"/>
      <c r="L363" s="63"/>
      <c r="M363" s="120">
        <v>1.4</v>
      </c>
      <c r="N363" s="120">
        <v>1.68</v>
      </c>
      <c r="O363" s="120">
        <v>2.23</v>
      </c>
      <c r="P363" s="121">
        <v>2.57</v>
      </c>
      <c r="Q363" s="122">
        <v>222</v>
      </c>
      <c r="R363" s="123">
        <f>(Q363/12*2*$E363*$G363*$H363*$M363)+(Q363/12*10*$F363*$G363*$I363*$M363)</f>
        <v>25932004.370999999</v>
      </c>
      <c r="S363" s="124">
        <v>1233</v>
      </c>
      <c r="T363" s="125">
        <f>(S363/12*2*$E363*$G363*$H363*$M363)+(S363/12*10*$F363*$G363*$I363*$M363)</f>
        <v>144027754.00650001</v>
      </c>
      <c r="U363" s="123">
        <v>37</v>
      </c>
      <c r="V363" s="123">
        <f>(U363/12*2*$E363*$G363*$H363*$M363)+(U363/12*10*$F363*$G363*$I363*$M363)</f>
        <v>4322000.7284999993</v>
      </c>
      <c r="W363" s="123"/>
      <c r="X363" s="123">
        <f>(W363/12*2*$E363*$G363*$H363*$M363)+(W363/12*10*$F363*$G363*$I363*$M363)</f>
        <v>0</v>
      </c>
      <c r="Y363" s="123"/>
      <c r="Z363" s="123">
        <f>(Y363/12*2*$E363*$G363*$H363*$M363)+(Y363/12*10*$F363*$G363*$I363*$M363)</f>
        <v>0</v>
      </c>
      <c r="AA363" s="123"/>
      <c r="AB363" s="123">
        <f>(AA363*$E363*$G363*$H363*$M363)/12*2+(AA363*$F363*$G363*$I363*$M363)/12*10</f>
        <v>0</v>
      </c>
      <c r="AC363" s="123"/>
      <c r="AD363" s="123"/>
      <c r="AE363" s="123">
        <v>10</v>
      </c>
      <c r="AF363" s="123">
        <f>(AE363/12*2*$E363*$G363*$H363*$M363)+(AE363/12*10*$F363*$G363*$I363*$M363)</f>
        <v>1168108.3049999999</v>
      </c>
      <c r="AG363" s="123">
        <v>0</v>
      </c>
      <c r="AH363" s="123">
        <f>(AG363/12*2*$E363*$G363*$H363*$M363)+(AG363/12*10*$F363*$G363*$I363*$M363)</f>
        <v>0</v>
      </c>
      <c r="AI363" s="123"/>
      <c r="AJ363" s="123">
        <f>(AI363/12*2*$E363*$G363*$H363*$M363)+(AI363/12*10*$F363*$G363*$I363*$M363)</f>
        <v>0</v>
      </c>
      <c r="AK363" s="123">
        <v>480</v>
      </c>
      <c r="AL363" s="126">
        <f>(AK363/12*2*$E363*$G363*$H363*$N363)+(AK363/12*10*$F363*$G363*$I363*$N363)</f>
        <v>67283038.368000001</v>
      </c>
      <c r="AM363" s="132"/>
      <c r="AN363" s="123">
        <f>(AM363/12*2*$E363*$G363*$H363*$N363)+(AM363/12*10*$F363*$G363*$I363*$N363)</f>
        <v>0</v>
      </c>
      <c r="AO363" s="130"/>
      <c r="AP363" s="123">
        <f>(AO363/12*2*$E363*$G363*$H363*$N363)+(AO363/12*10*$F363*$G363*$I363*$N363)</f>
        <v>0</v>
      </c>
      <c r="AQ363" s="123">
        <v>0</v>
      </c>
      <c r="AR363" s="123">
        <v>0</v>
      </c>
      <c r="AS363" s="123"/>
      <c r="AT363" s="123">
        <f>(AS363*$E363*$G363*$H363*$M363)/12*3+(AS363*$F363*$G363*$I363*$M363)/12*9</f>
        <v>0</v>
      </c>
      <c r="AU363" s="123"/>
      <c r="AV363" s="123"/>
      <c r="AW363" s="123"/>
      <c r="AX363" s="123">
        <f>(AW363/12*2*$E363*$G363*$H363*$M363)+(AW363/12*10*$F363*$G363*$I363*$M363)</f>
        <v>0</v>
      </c>
      <c r="AY363" s="123">
        <v>269</v>
      </c>
      <c r="AZ363" s="123">
        <f>(AY363/12*2*$E363*$G363*$H363*$N363)+(AY363/12*10*$F363*$G363*$I363*$N363)</f>
        <v>37706536.0854</v>
      </c>
      <c r="BA363" s="123"/>
      <c r="BB363" s="123">
        <f>(BA363/12*2*$E363*$G363*$H363*$N363)+(BA363/12*10*$F363*$G363*$I363*$N363)</f>
        <v>0</v>
      </c>
      <c r="BC363" s="123"/>
      <c r="BD363" s="123">
        <f>(BC363/12*2*$E363*$G363*$H363*$N363)+(BC363/12*10*$F363*$G363*$I363*$N363)</f>
        <v>0</v>
      </c>
      <c r="BE363" s="123">
        <v>6</v>
      </c>
      <c r="BF363" s="123">
        <f>(BE363/12*10*$F363*$G363*$I363*$N363)</f>
        <v>700250.66999999993</v>
      </c>
      <c r="BG363" s="123"/>
      <c r="BH363" s="123">
        <f>(BG363/12*2*$E363*$G363*$H363*$N363)+(BG363/12*10*$F363*$G363*$I363*$N363)</f>
        <v>0</v>
      </c>
      <c r="BI363" s="123"/>
      <c r="BJ363" s="123">
        <f>(BI363/12*2*$E363*$G363*$H363*$N363)+(BI363/12*10*$F363*$G363*$I363*$N363)</f>
        <v>0</v>
      </c>
      <c r="BK363" s="123"/>
      <c r="BL363" s="123">
        <f>(BK363/12*2*$E363*$G363*$H363*$N363)+(BK363/12*10*$F363*$G363*$I363*$N363)</f>
        <v>0</v>
      </c>
      <c r="BM363" s="123"/>
      <c r="BN363" s="123"/>
      <c r="BO363" s="123"/>
      <c r="BP363" s="123">
        <f>(BO363/12*2*$E363*$G363*$H363*$M363)+(BO363/12*10*$F363*$G363*$I363*$M363)</f>
        <v>0</v>
      </c>
      <c r="BQ363" s="123"/>
      <c r="BR363" s="123">
        <f>(BQ363/12*2*$E363*$G363*$H363*$M363)+(BQ363/12*10*$F363*$G363*$I363*$M363)</f>
        <v>0</v>
      </c>
      <c r="BS363" s="123"/>
      <c r="BT363" s="123">
        <f>(BS363/12*2*$E363*$G363*$H363*$N363)+(BS363/12*10*$F363*$G363*$I363*$N363)</f>
        <v>0</v>
      </c>
      <c r="BU363" s="123"/>
      <c r="BV363" s="123">
        <f>(BU363/12*2*$E363*$G363*$H363*$M363)+(BU363/12*10*$F363*$G363*$I363*$M363)</f>
        <v>0</v>
      </c>
      <c r="BW363" s="123"/>
      <c r="BX363" s="123">
        <f>(BW363/12*2*$E363*$G363*$H363*$M363)+(BW363/12*10*$F363*$G363*$I363*$M363)</f>
        <v>0</v>
      </c>
      <c r="BY363" s="123"/>
      <c r="BZ363" s="123">
        <f>(BY363/12*2*$E363*$G363*$H363*$M363)+(BY363/12*10*$F363*$G363*$I363*$M363)</f>
        <v>0</v>
      </c>
      <c r="CA363" s="123"/>
      <c r="CB363" s="123">
        <f>(CA363/12*2*$E363*$G363*$H363*$M363)+(CA363/12*10*$F363*$G363*$I363*$M363)</f>
        <v>0</v>
      </c>
      <c r="CC363" s="123"/>
      <c r="CD363" s="123">
        <f>(CC363/12*2*$E363*$G363*$H363*$M363)+(CC363/12*10*$F363*$G363*$I363*$M363)</f>
        <v>0</v>
      </c>
      <c r="CE363" s="123"/>
      <c r="CF363" s="123">
        <f>(CE363/12*10*$F363*$G363*$I363*$N363)</f>
        <v>0</v>
      </c>
      <c r="CG363" s="132"/>
      <c r="CH363" s="123">
        <f>(CG363/12*2*$E363*$G363*$H363*$N363)+(CG363/12*10*$F363*$G363*$I363*$N363)</f>
        <v>0</v>
      </c>
      <c r="CI363" s="123">
        <v>5</v>
      </c>
      <c r="CJ363" s="127">
        <f>(CI363*$F363*$G363*$I363*$M363)</f>
        <v>583542.22499999998</v>
      </c>
      <c r="CK363" s="123"/>
      <c r="CL363" s="123">
        <f>(CK363/12*2*$E363*$G363*$H363*$N363)+(CK363/12*10*$F363*$G363*$I363*$N363)</f>
        <v>0</v>
      </c>
      <c r="CM363" s="130"/>
      <c r="CN363" s="123">
        <f>(CM363/12*2*$E363*$G363*$H363*$N363)+(CM363/12*10*$F363*$G363*$I363*$N363)</f>
        <v>0</v>
      </c>
      <c r="CO363" s="123"/>
      <c r="CP363" s="123">
        <f>(CO363/12*2*$E363*$G363*$H363*$N363)+(CO363/12*10*$F363*$G363*$I363*$N363)</f>
        <v>0</v>
      </c>
      <c r="CQ363" s="123"/>
      <c r="CR363" s="123">
        <f>(CQ363/12*2*$E363*$G363*$H363*$O363)+(CQ363/12*10*$F363*$G363*$I363*$O363)</f>
        <v>0</v>
      </c>
      <c r="CS363" s="123"/>
      <c r="CT363" s="127">
        <f>(CS363/12*2*$E363*$G363*$H363*$P363)+(CS363/12*10*$F363*$G363*$I363*$P363)</f>
        <v>0</v>
      </c>
      <c r="CU363" s="127"/>
      <c r="CV363" s="127"/>
      <c r="CW363" s="126">
        <f t="shared" si="509"/>
        <v>2262</v>
      </c>
      <c r="CX363" s="126">
        <f t="shared" si="509"/>
        <v>281723234.75940007</v>
      </c>
    </row>
    <row r="364" spans="1:102" ht="15.75" customHeight="1" x14ac:dyDescent="0.25">
      <c r="A364" s="109">
        <v>30</v>
      </c>
      <c r="B364" s="150"/>
      <c r="C364" s="93" t="s">
        <v>846</v>
      </c>
      <c r="D364" s="164" t="s">
        <v>847</v>
      </c>
      <c r="E364" s="95">
        <v>28004</v>
      </c>
      <c r="F364" s="96">
        <v>29405</v>
      </c>
      <c r="G364" s="151">
        <v>1.2</v>
      </c>
      <c r="H364" s="166"/>
      <c r="I364" s="108"/>
      <c r="J364" s="108"/>
      <c r="K364" s="108"/>
      <c r="L364" s="111"/>
      <c r="M364" s="112">
        <v>1.4</v>
      </c>
      <c r="N364" s="112">
        <v>1.68</v>
      </c>
      <c r="O364" s="112">
        <v>2.23</v>
      </c>
      <c r="P364" s="113">
        <v>2.57</v>
      </c>
      <c r="Q364" s="103">
        <f>SUM(Q365:Q380)</f>
        <v>2081</v>
      </c>
      <c r="R364" s="104">
        <f>SUM(R365:R380)</f>
        <v>123641123.9683291</v>
      </c>
      <c r="S364" s="114">
        <f t="shared" ref="S364:CD364" si="512">SUM(S365:S380)</f>
        <v>11</v>
      </c>
      <c r="T364" s="115">
        <f t="shared" si="512"/>
        <v>389862.18142666662</v>
      </c>
      <c r="U364" s="104">
        <f t="shared" si="512"/>
        <v>327</v>
      </c>
      <c r="V364" s="104">
        <f t="shared" si="512"/>
        <v>13050627.5669</v>
      </c>
      <c r="W364" s="104">
        <f t="shared" si="512"/>
        <v>10</v>
      </c>
      <c r="X364" s="104">
        <f t="shared" si="512"/>
        <v>366990.70216666674</v>
      </c>
      <c r="Y364" s="104">
        <f t="shared" si="512"/>
        <v>92</v>
      </c>
      <c r="Z364" s="104">
        <f t="shared" si="512"/>
        <v>7300138.2256483324</v>
      </c>
      <c r="AA364" s="104">
        <f t="shared" si="512"/>
        <v>0</v>
      </c>
      <c r="AB364" s="104">
        <f t="shared" si="512"/>
        <v>0</v>
      </c>
      <c r="AC364" s="104">
        <f t="shared" si="512"/>
        <v>0</v>
      </c>
      <c r="AD364" s="104">
        <f t="shared" si="512"/>
        <v>0</v>
      </c>
      <c r="AE364" s="104">
        <f t="shared" si="512"/>
        <v>272</v>
      </c>
      <c r="AF364" s="105">
        <f t="shared" si="512"/>
        <v>14185926.91712</v>
      </c>
      <c r="AG364" s="104">
        <f t="shared" si="512"/>
        <v>1923</v>
      </c>
      <c r="AH364" s="104">
        <f t="shared" si="512"/>
        <v>89601852.764596686</v>
      </c>
      <c r="AI364" s="106">
        <f t="shared" si="512"/>
        <v>41</v>
      </c>
      <c r="AJ364" s="104">
        <f t="shared" si="512"/>
        <v>2077152.9440900001</v>
      </c>
      <c r="AK364" s="104">
        <f t="shared" si="512"/>
        <v>0</v>
      </c>
      <c r="AL364" s="104">
        <f t="shared" si="512"/>
        <v>0</v>
      </c>
      <c r="AM364" s="104">
        <f t="shared" si="512"/>
        <v>23</v>
      </c>
      <c r="AN364" s="104">
        <f t="shared" si="512"/>
        <v>1948019.20915</v>
      </c>
      <c r="AO364" s="106">
        <f t="shared" si="512"/>
        <v>11</v>
      </c>
      <c r="AP364" s="104">
        <f t="shared" si="512"/>
        <v>437789.53596000001</v>
      </c>
      <c r="AQ364" s="104">
        <v>38</v>
      </c>
      <c r="AR364" s="104">
        <v>1584846.78</v>
      </c>
      <c r="AS364" s="104">
        <f t="shared" si="512"/>
        <v>0</v>
      </c>
      <c r="AT364" s="104">
        <f t="shared" si="512"/>
        <v>0</v>
      </c>
      <c r="AU364" s="104">
        <f t="shared" si="512"/>
        <v>0</v>
      </c>
      <c r="AV364" s="104">
        <f t="shared" si="512"/>
        <v>0</v>
      </c>
      <c r="AW364" s="104">
        <f t="shared" si="512"/>
        <v>157</v>
      </c>
      <c r="AX364" s="104">
        <f t="shared" si="512"/>
        <v>4859856.2260500006</v>
      </c>
      <c r="AY364" s="104">
        <f t="shared" si="512"/>
        <v>1945</v>
      </c>
      <c r="AZ364" s="104">
        <f t="shared" si="512"/>
        <v>107051593.48941904</v>
      </c>
      <c r="BA364" s="104">
        <f t="shared" si="512"/>
        <v>127</v>
      </c>
      <c r="BB364" s="104">
        <f t="shared" si="512"/>
        <v>4812869.5328000002</v>
      </c>
      <c r="BC364" s="104">
        <f t="shared" si="512"/>
        <v>0</v>
      </c>
      <c r="BD364" s="104">
        <f t="shared" si="512"/>
        <v>0</v>
      </c>
      <c r="BE364" s="104">
        <f t="shared" si="512"/>
        <v>137</v>
      </c>
      <c r="BF364" s="104">
        <f t="shared" si="512"/>
        <v>3717050.764</v>
      </c>
      <c r="BG364" s="104">
        <f t="shared" si="512"/>
        <v>39</v>
      </c>
      <c r="BH364" s="104">
        <f t="shared" si="512"/>
        <v>1377471.22884</v>
      </c>
      <c r="BI364" s="104">
        <f t="shared" si="512"/>
        <v>216</v>
      </c>
      <c r="BJ364" s="104">
        <f t="shared" si="512"/>
        <v>8615925.3492480014</v>
      </c>
      <c r="BK364" s="104">
        <f t="shared" si="512"/>
        <v>245</v>
      </c>
      <c r="BL364" s="104">
        <f t="shared" si="512"/>
        <v>10194357.149591997</v>
      </c>
      <c r="BM364" s="104">
        <f t="shared" si="512"/>
        <v>10</v>
      </c>
      <c r="BN364" s="104">
        <f t="shared" si="512"/>
        <v>351224.86</v>
      </c>
      <c r="BO364" s="104">
        <f t="shared" si="512"/>
        <v>51</v>
      </c>
      <c r="BP364" s="104">
        <f t="shared" si="512"/>
        <v>1568655.4263333331</v>
      </c>
      <c r="BQ364" s="104">
        <f t="shared" si="512"/>
        <v>0</v>
      </c>
      <c r="BR364" s="104">
        <f t="shared" si="512"/>
        <v>0</v>
      </c>
      <c r="BS364" s="104">
        <f t="shared" si="512"/>
        <v>174</v>
      </c>
      <c r="BT364" s="104">
        <f t="shared" si="512"/>
        <v>6003820.1042399993</v>
      </c>
      <c r="BU364" s="104">
        <f t="shared" si="512"/>
        <v>15</v>
      </c>
      <c r="BV364" s="104">
        <f t="shared" si="512"/>
        <v>421469.83199999999</v>
      </c>
      <c r="BW364" s="104">
        <f t="shared" si="512"/>
        <v>0</v>
      </c>
      <c r="BX364" s="104">
        <f t="shared" si="512"/>
        <v>0</v>
      </c>
      <c r="BY364" s="104">
        <f t="shared" si="512"/>
        <v>92</v>
      </c>
      <c r="BZ364" s="104">
        <f t="shared" si="512"/>
        <v>1889548.9066999999</v>
      </c>
      <c r="CA364" s="104">
        <f>SUM(CA365:CA380)</f>
        <v>151</v>
      </c>
      <c r="CB364" s="104">
        <f t="shared" si="512"/>
        <v>4753505.3238400007</v>
      </c>
      <c r="CC364" s="104">
        <f t="shared" si="512"/>
        <v>227</v>
      </c>
      <c r="CD364" s="104">
        <f t="shared" si="512"/>
        <v>6330450.6887999997</v>
      </c>
      <c r="CE364" s="104">
        <f t="shared" ref="CE364:CX364" si="513">SUM(CE365:CE380)</f>
        <v>126</v>
      </c>
      <c r="CF364" s="104">
        <f t="shared" si="513"/>
        <v>3723308.1479999996</v>
      </c>
      <c r="CG364" s="104">
        <f t="shared" si="513"/>
        <v>15</v>
      </c>
      <c r="CH364" s="104">
        <f t="shared" si="513"/>
        <v>568984.27319999994</v>
      </c>
      <c r="CI364" s="104">
        <f t="shared" si="513"/>
        <v>0</v>
      </c>
      <c r="CJ364" s="104">
        <f t="shared" si="513"/>
        <v>0</v>
      </c>
      <c r="CK364" s="104">
        <f t="shared" si="513"/>
        <v>0</v>
      </c>
      <c r="CL364" s="104">
        <f t="shared" si="513"/>
        <v>0</v>
      </c>
      <c r="CM364" s="104">
        <f t="shared" si="513"/>
        <v>16</v>
      </c>
      <c r="CN364" s="104">
        <f t="shared" si="513"/>
        <v>574375.16639999999</v>
      </c>
      <c r="CO364" s="104">
        <f t="shared" si="513"/>
        <v>113</v>
      </c>
      <c r="CP364" s="104">
        <f t="shared" si="513"/>
        <v>683111.21</v>
      </c>
      <c r="CQ364" s="104">
        <f t="shared" si="513"/>
        <v>29</v>
      </c>
      <c r="CR364" s="104">
        <f t="shared" si="513"/>
        <v>1332274.0736</v>
      </c>
      <c r="CS364" s="104">
        <f t="shared" si="513"/>
        <v>45</v>
      </c>
      <c r="CT364" s="104">
        <f t="shared" si="513"/>
        <v>2150161.2533999998</v>
      </c>
      <c r="CU364" s="104">
        <f t="shared" si="513"/>
        <v>0</v>
      </c>
      <c r="CV364" s="104">
        <f t="shared" si="513"/>
        <v>0</v>
      </c>
      <c r="CW364" s="104">
        <f t="shared" si="513"/>
        <v>8759</v>
      </c>
      <c r="CX364" s="104">
        <f t="shared" si="513"/>
        <v>425564343.8018499</v>
      </c>
    </row>
    <row r="365" spans="1:102" ht="30" customHeight="1" x14ac:dyDescent="0.25">
      <c r="A365" s="91"/>
      <c r="B365" s="116">
        <v>293</v>
      </c>
      <c r="C365" s="117" t="s">
        <v>848</v>
      </c>
      <c r="D365" s="161" t="s">
        <v>849</v>
      </c>
      <c r="E365" s="95">
        <v>28004</v>
      </c>
      <c r="F365" s="96">
        <v>29405</v>
      </c>
      <c r="G365" s="119">
        <v>0.86</v>
      </c>
      <c r="H365" s="107">
        <v>1</v>
      </c>
      <c r="I365" s="108"/>
      <c r="J365" s="108"/>
      <c r="K365" s="108"/>
      <c r="L365" s="63"/>
      <c r="M365" s="120">
        <v>1.4</v>
      </c>
      <c r="N365" s="120">
        <v>1.68</v>
      </c>
      <c r="O365" s="120">
        <v>2.23</v>
      </c>
      <c r="P365" s="121">
        <v>2.57</v>
      </c>
      <c r="Q365" s="122">
        <v>180</v>
      </c>
      <c r="R365" s="123">
        <f>(Q365/12*2*$E365*$G365*$H365*$M365*$R$11)+(Q365/12*10*$F365*$G365*$H365*$M365*$R$11)</f>
        <v>6954252.2280000001</v>
      </c>
      <c r="S365" s="124"/>
      <c r="T365" s="125">
        <f>(S365/12*2*$E365*$G365*$H365*$M365*$R$11)+(S365/12*10*$F365*$G365*$H365*$M365*$R$11)</f>
        <v>0</v>
      </c>
      <c r="U365" s="123">
        <v>120</v>
      </c>
      <c r="V365" s="123">
        <f>(U365/12*2*$E365*$G365*$H365*$M365*$V$11)+(U365/12*10*$F365*$G365*$H365*$M365*$V$12)</f>
        <v>5652752.3080000002</v>
      </c>
      <c r="W365" s="123"/>
      <c r="X365" s="126">
        <f>(W365/12*2*$E365*$G365*$H365*$M365*$X$11)+(W365/12*10*$F365*$G365*$H365*$M365*$X$12)</f>
        <v>0</v>
      </c>
      <c r="Y365" s="123"/>
      <c r="Z365" s="123">
        <f>(Y365/12*2*$E365*$G365*$H365*$M365*$Z$11)+(Y365/12*10*$F365*$G365*$H365*$M365*$Z$12)</f>
        <v>0</v>
      </c>
      <c r="AA365" s="123"/>
      <c r="AB365" s="123">
        <f>(AA365/12*2*$E365*$G365*$H365*$M365*$AB$11)+(AA365/12*10*$F365*$G365*$H365*$M365*$AB$11)</f>
        <v>0</v>
      </c>
      <c r="AC365" s="123"/>
      <c r="AD365" s="123"/>
      <c r="AE365" s="123">
        <v>122</v>
      </c>
      <c r="AF365" s="127">
        <f>(AE365/12*2*$E365*$G365*$H365*$M365*$AF$11)+(AE365/12*10*$F365*$G365*$H365*$M365*$AF$11)</f>
        <v>4713437.6211999999</v>
      </c>
      <c r="AG365" s="123">
        <f>200-3</f>
        <v>197</v>
      </c>
      <c r="AH365" s="126">
        <f>(AG365/12*2*$E365*$G365*$H365*$M365*$AH$11)+(AG365/12*10*$F365*$G365*$H365*$M365*$AH$11)</f>
        <v>7611042.7162000006</v>
      </c>
      <c r="AI365" s="130">
        <v>25</v>
      </c>
      <c r="AJ365" s="123">
        <f t="shared" ref="AJ365:AJ367" si="514">(AI365/12*2*$E365*$G365*$H365*$M365*$AJ$11)+(AI365/12*5*$F365*$G365*$H365*$M365*$AJ$12)+(AI365/12*5*$F365*$G365*$H365*$M365*$AJ$13)</f>
        <v>1134105.0408333333</v>
      </c>
      <c r="AK365" s="123"/>
      <c r="AL365" s="123">
        <f t="shared" ref="AL365:AL367" si="515">(AK365/12*2*$E365*$G365*$H365*$N365*$AL$11)+(AK365/12*5*$F365*$G365*$H365*$N365*$AL$12)++(AK365/12*5*$F365*$G365*$H365*$N365*$AL$13)</f>
        <v>0</v>
      </c>
      <c r="AM365" s="129"/>
      <c r="AN365" s="123">
        <f>(AM365/12*2*$E365*$G365*$H365*$N365*$AN$11)+(AM365/12*10*$F365*$G365*$H365*$N365*$AN$12)</f>
        <v>0</v>
      </c>
      <c r="AO365" s="130">
        <v>5</v>
      </c>
      <c r="AP365" s="127">
        <f>(AO365/12*2*$E365*$G365*$H365*$N365*$AP$11)+(AO365/12*10*$F365*$G365*$H365*$N365*$AP$11)</f>
        <v>231808.40760000004</v>
      </c>
      <c r="AQ365" s="127">
        <v>4</v>
      </c>
      <c r="AR365" s="127">
        <v>184704.54</v>
      </c>
      <c r="AS365" s="123"/>
      <c r="AT365" s="123">
        <f>(AS365/12*2*$E365*$G365*$H365*$M365*$AT$11)+(AS365/12*10*$F365*$G365*$H365*$M365*$AT$11)</f>
        <v>0</v>
      </c>
      <c r="AU365" s="123"/>
      <c r="AV365" s="126">
        <f>(AU365/12*2*$E365*$G365*$H365*$M365*$AV$11)+(AU365/12*10*$F365*$G365*$H365*$M365*$AV$12)</f>
        <v>0</v>
      </c>
      <c r="AW365" s="123">
        <v>45</v>
      </c>
      <c r="AX365" s="123">
        <f>(AW365/12*2*$E365*$G365*$H365*$M365*$AX$11)+(AW365/12*10*$F365*$G365*$H365*$M365*$AX$12)</f>
        <v>1816956.0989999999</v>
      </c>
      <c r="AY365" s="131">
        <v>293</v>
      </c>
      <c r="AZ365" s="123">
        <f>(AY365/12*2*$E365*$G365*$H365*$N365*$AZ$11)+(AY365/12*10*$F365*$G365*$H365*$N365*$AZ$11)</f>
        <v>13583972.685360001</v>
      </c>
      <c r="BA365" s="123">
        <v>87</v>
      </c>
      <c r="BB365" s="123">
        <f>(BA365/12*2*$E365*$G365*$H365*$N365*$BB$11)+(BA365/12*10*$F365*$G365*$H365*$N365*$BB$12)</f>
        <v>3543582.9408</v>
      </c>
      <c r="BC365" s="123"/>
      <c r="BD365" s="126">
        <f>(BC365/12*2*$E365*$G365*$H365*$N365*$BD$11)+(BC365/12*10*$F365*$G365*$H365*$N365*$BD$12)</f>
        <v>0</v>
      </c>
      <c r="BE365" s="123">
        <v>25</v>
      </c>
      <c r="BF365" s="123">
        <f>(BE365/12*10*$F365*$G365*$H365*$N365*$BF$12)</f>
        <v>885090.5</v>
      </c>
      <c r="BG365" s="123">
        <v>23</v>
      </c>
      <c r="BH365" s="123">
        <f>(BG365/12*2*$E365*$G365*$H365*$N365*$BH$11)+(BG365/12*10*$F365*$G365*$H365*$N365*$BH$11)</f>
        <v>872442.55223999999</v>
      </c>
      <c r="BI365" s="123">
        <v>61</v>
      </c>
      <c r="BJ365" s="126">
        <f>(BI365/12*2*$E365*$G365*$H365*$N365*$BJ$11)+(BI365/12*10*$F365*$G365*$H365*$N365*$BJ$11)</f>
        <v>3085159.1702399994</v>
      </c>
      <c r="BK365" s="123">
        <v>86</v>
      </c>
      <c r="BL365" s="127">
        <f>(BK365/12*2*$E365*$G365*$H365*$N365*$BL$11)+(BK365/12*10*$F365*$G365*$H365*$N365*$BL$11)</f>
        <v>4349568.6662400002</v>
      </c>
      <c r="BM365" s="123">
        <v>10</v>
      </c>
      <c r="BN365" s="123">
        <f>(BM365/12*2*$E365*$G365*$H365*$M365*$BN$11)+(BM365/12*10*$F365*$G365*$H365*$M365*$BN$11)</f>
        <v>351224.86</v>
      </c>
      <c r="BO365" s="123">
        <v>43</v>
      </c>
      <c r="BP365" s="123">
        <f>(BO365/12*2*$E365*$G365*$H365*$M365*$BP$11)+(BO365/12*10*$F365*$G365*$H365*$M365*$BP$12)</f>
        <v>1383403.9263333331</v>
      </c>
      <c r="BQ365" s="123"/>
      <c r="BR365" s="123">
        <f>(BQ365/12*2*$E365*$G365*$H365*$M365*$BR$11)+(BQ365/12*10*$F365*$G365*$H365*$M365*$BR$11)</f>
        <v>0</v>
      </c>
      <c r="BS365" s="123">
        <v>80</v>
      </c>
      <c r="BT365" s="123">
        <f>(BS365/12*2*$E365*$G365*$H365*$N365*$BT$11)+(BS365/12*10*$F365*$G365*$H365*$N365*$BT$11)</f>
        <v>3371758.656</v>
      </c>
      <c r="BU365" s="123">
        <v>15</v>
      </c>
      <c r="BV365" s="126">
        <f>(BU365/12*2*$E365*$G365*$H365*$M365*$BV$11)+(BU365/12*10*$F365*$G365*$H365*$M365*$BV$11)</f>
        <v>421469.83199999999</v>
      </c>
      <c r="BW365" s="123"/>
      <c r="BX365" s="123">
        <f>(BW365/12*2*$E365*$G365*$H365*$M365*$BX$11)+(BW365/12*10*$F365*$G365*$H365*$M365*$BX$11)</f>
        <v>0</v>
      </c>
      <c r="BY365" s="123"/>
      <c r="BZ365" s="123">
        <f>(BY365/12*2*$E365*$G365*$H365*$M365*$BZ$11)+(BY365/12*10*$F365*$G365*$H365*$M365*$BZ$11)</f>
        <v>0</v>
      </c>
      <c r="CA365" s="123">
        <v>40</v>
      </c>
      <c r="CB365" s="123">
        <f>(CA365/12*2*$E365*$G365*$H365*$M365*$CB$11)+(CA365/12*10*$F365*$G365*$H365*$M365*$CB$11)</f>
        <v>1685879.328</v>
      </c>
      <c r="CC365" s="123">
        <v>90</v>
      </c>
      <c r="CD365" s="123">
        <f>(CC365/12*2*$E365*$G365*$H365*$M365*$CD$11)+(CC365/12*10*$F365*$G365*$H365*$M365*$CD$11)</f>
        <v>3161023.7399999998</v>
      </c>
      <c r="CE365" s="123">
        <v>42</v>
      </c>
      <c r="CF365" s="123">
        <f>(CE365/12*10*$F365*$G365*$H365*$N365*$CF$11)</f>
        <v>1486952.04</v>
      </c>
      <c r="CG365" s="132">
        <v>15</v>
      </c>
      <c r="CH365" s="123">
        <f>(CG365/12*2*$E365*$G365*$H365*$N365*$CH$11)+(CG365/12*10*$F365*$G365*$H365*$N365*$CH$11)</f>
        <v>568984.27319999994</v>
      </c>
      <c r="CI365" s="123"/>
      <c r="CJ365" s="127"/>
      <c r="CK365" s="123"/>
      <c r="CL365" s="123">
        <f>(CK365/12*2*$E365*$G365*$H365*$N365*$CL$11)+(CK365/12*10*$F365*$G365*$H365*$N365*$CL$12)</f>
        <v>0</v>
      </c>
      <c r="CM365" s="130">
        <v>10</v>
      </c>
      <c r="CN365" s="123">
        <f>(CM365/12*2*$E365*$G365*$H365*$N365*$CN$11)+(CM365/12*10*$F365*$G365*$H365*$N365*$CN$11)</f>
        <v>421469.83199999999</v>
      </c>
      <c r="CO365" s="123">
        <v>74</v>
      </c>
      <c r="CP365" s="123">
        <v>442037.24999999988</v>
      </c>
      <c r="CQ365" s="123">
        <v>15</v>
      </c>
      <c r="CR365" s="123">
        <f>(CQ365/12*2*$E365*$G365*$H365*$O365*$CR$11)+(CQ365/12*10*$F365*$G365*$H365*$O365*$CR$11)</f>
        <v>839176.5405</v>
      </c>
      <c r="CS365" s="123">
        <v>15</v>
      </c>
      <c r="CT365" s="133">
        <f>(CS365/12*2*$E365*$G365*$H365*$P365*$CT$11)+(CS365/12*10*$F365*$G365*$H365*$P365*$CT$11)</f>
        <v>967122.73949999991</v>
      </c>
      <c r="CU365" s="127"/>
      <c r="CV365" s="123">
        <f>(CU365*$E365*$G365*$H365*$M365*CV$11)/12*6+(CU365*$E365*$G365*$H365*1*CV$11)/12*6</f>
        <v>0</v>
      </c>
      <c r="CW365" s="126">
        <f t="shared" ref="CW365:CX367" si="516">SUM(Q365,S365,U365,W365,Y365,AA365,AC365,AE365,AG365,AM365,BQ365,AI365,AU365,CC365,AW365,AY365,AK365,BC365,AO365,AQ365,BE365,CE365,BG365,BI365,BK365,BS365,BM365,BO365,BU365,BW365,BY365,CA365,CG365,BA365,AS365,CI365,CK365,CM365,CO365,CQ365,CS365,CU365)</f>
        <v>1722</v>
      </c>
      <c r="CX365" s="126">
        <f t="shared" si="516"/>
        <v>69719378.493246675</v>
      </c>
    </row>
    <row r="366" spans="1:102" ht="47.25" customHeight="1" x14ac:dyDescent="0.25">
      <c r="A366" s="91"/>
      <c r="B366" s="116">
        <v>294</v>
      </c>
      <c r="C366" s="117" t="s">
        <v>850</v>
      </c>
      <c r="D366" s="161" t="s">
        <v>851</v>
      </c>
      <c r="E366" s="95">
        <v>28004</v>
      </c>
      <c r="F366" s="96">
        <v>29405</v>
      </c>
      <c r="G366" s="119">
        <v>0.49</v>
      </c>
      <c r="H366" s="107">
        <v>1</v>
      </c>
      <c r="I366" s="108"/>
      <c r="J366" s="108"/>
      <c r="K366" s="108"/>
      <c r="L366" s="63"/>
      <c r="M366" s="120">
        <v>1.4</v>
      </c>
      <c r="N366" s="120">
        <v>1.68</v>
      </c>
      <c r="O366" s="120">
        <v>2.23</v>
      </c>
      <c r="P366" s="121">
        <v>2.57</v>
      </c>
      <c r="Q366" s="122">
        <v>103</v>
      </c>
      <c r="R366" s="123">
        <f>(Q366/12*2*$E366*$G366*$H366*$M366*$R$11)+(Q366/12*10*$F366*$G366*$H366*$M366*$R$11)</f>
        <v>2267319.8317000004</v>
      </c>
      <c r="S366" s="124">
        <v>3</v>
      </c>
      <c r="T366" s="125">
        <f>(S366/12*2*$E366*$G366*$H366*$M366*$R$11)+(S366/12*10*$F366*$G366*$H366*$M366*$R$11)</f>
        <v>66038.441699999996</v>
      </c>
      <c r="U366" s="123">
        <v>20</v>
      </c>
      <c r="V366" s="123">
        <f>(U366/12*2*$E366*$G366*$H366*$M366*$V$11)+(U366/12*10*$F366*$G366*$H366*$M366*$V$12)</f>
        <v>536792.37033333338</v>
      </c>
      <c r="W366" s="123"/>
      <c r="X366" s="126">
        <f>(W366/12*2*$E366*$G366*$H366*$M366*$X$11)+(W366/12*10*$F366*$G366*$H366*$M366*$X$12)</f>
        <v>0</v>
      </c>
      <c r="Y366" s="123"/>
      <c r="Z366" s="123">
        <f>(Y366/12*2*$E366*$G366*$H366*$M366*$Z$11)+(Y366/12*10*$F366*$G366*$H366*$M366*$Z$12)</f>
        <v>0</v>
      </c>
      <c r="AA366" s="123"/>
      <c r="AB366" s="123">
        <f>(AA366/12*2*$E366*$G366*$H366*$M366*$AB$11)+(AA366/12*10*$F366*$G366*$H366*$M366*$AB$11)</f>
        <v>0</v>
      </c>
      <c r="AC366" s="123"/>
      <c r="AD366" s="123"/>
      <c r="AE366" s="123">
        <v>18</v>
      </c>
      <c r="AF366" s="127">
        <f>(AE366/12*2*$E366*$G366*$H366*$M366*$AF$11)+(AE366/12*10*$F366*$G366*$H366*$M366*$AF$11)</f>
        <v>396230.65019999992</v>
      </c>
      <c r="AG366" s="123">
        <v>450</v>
      </c>
      <c r="AH366" s="126">
        <f>(AG366/12*2*$E366*$G366*$H366*$M366*$AH$11)+(AG366/12*10*$F366*$G366*$H366*$M366*$AH$11)</f>
        <v>9905766.254999999</v>
      </c>
      <c r="AI366" s="130">
        <v>2</v>
      </c>
      <c r="AJ366" s="123">
        <f t="shared" si="514"/>
        <v>51694.090233333322</v>
      </c>
      <c r="AK366" s="123"/>
      <c r="AL366" s="123">
        <f t="shared" si="515"/>
        <v>0</v>
      </c>
      <c r="AM366" s="132"/>
      <c r="AN366" s="123">
        <f>(AM366/12*2*$E366*$G366*$H366*$N366*$AN$11)+(AM366/12*10*$F366*$G366*$H366*$N366*$AN$12)</f>
        <v>0</v>
      </c>
      <c r="AO366" s="130">
        <v>1</v>
      </c>
      <c r="AP366" s="127">
        <f>(AO366/12*2*$E366*$G366*$H366*$N366*$AP$11)+(AO366/12*10*$F366*$G366*$H366*$N366*$AP$11)</f>
        <v>26415.376680000001</v>
      </c>
      <c r="AQ366" s="127">
        <v>6</v>
      </c>
      <c r="AR366" s="127">
        <v>157223.64000000001</v>
      </c>
      <c r="AS366" s="123"/>
      <c r="AT366" s="123">
        <f>(AS366/12*2*$E366*$G366*$H366*$M366*$AT$11)+(AS366/12*10*$F366*$G366*$H366*$M366*$AT$11)</f>
        <v>0</v>
      </c>
      <c r="AU366" s="123"/>
      <c r="AV366" s="126">
        <f>(AU366/12*2*$E366*$G366*$H366*$M366*$AV$11)+(AU366/12*10*$F366*$G366*$H366*$M366*$AV$12)</f>
        <v>0</v>
      </c>
      <c r="AW366" s="123">
        <v>82</v>
      </c>
      <c r="AX366" s="123">
        <f>(AW366/12*2*$E366*$G366*$H366*$M366*$AX$11)+(AW366/12*10*$F366*$G366*$H366*$M366*$AX$12)</f>
        <v>1886441.7585999998</v>
      </c>
      <c r="AY366" s="131">
        <v>500</v>
      </c>
      <c r="AZ366" s="123">
        <f>(AY366/12*2*$E366*$G366*$H366*$N366*$AZ$11)+(AY366/12*10*$F366*$G366*$H366*$N366*$AZ$11)</f>
        <v>13207688.34</v>
      </c>
      <c r="BA366" s="123"/>
      <c r="BB366" s="123">
        <f>(BA366/12*2*$E366*$G366*$H366*$N366*$BB$11)+(BA366/12*10*$F366*$G366*$H366*$N366*$BB$12)</f>
        <v>0</v>
      </c>
      <c r="BC366" s="123"/>
      <c r="BD366" s="126">
        <f>(BC366/12*2*$E366*$G366*$H366*$N366*$BD$11)+(BC366/12*10*$F366*$G366*$H366*$N366*$BD$12)</f>
        <v>0</v>
      </c>
      <c r="BE366" s="123">
        <v>60</v>
      </c>
      <c r="BF366" s="123">
        <f>(BE366/12*10*$F366*$G366*$H366*$N366*$BF$12)</f>
        <v>1210309.8</v>
      </c>
      <c r="BG366" s="123">
        <v>3</v>
      </c>
      <c r="BH366" s="123">
        <f>(BG366/12*2*$E366*$G366*$H366*$N366*$BH$11)+(BG366/12*10*$F366*$G366*$H366*$N366*$BH$11)</f>
        <v>64837.742759999994</v>
      </c>
      <c r="BI366" s="123">
        <v>74</v>
      </c>
      <c r="BJ366" s="126">
        <f>(BI366/12*2*$E366*$G366*$H366*$N366*$BJ$11)+(BI366/12*10*$F366*$G366*$H366*$N366*$BJ$11)</f>
        <v>2132441.3174399999</v>
      </c>
      <c r="BK366" s="123">
        <v>91</v>
      </c>
      <c r="BL366" s="127">
        <f>(BK366/12*2*$E366*$G366*$H366*$N366*$BL$11)+(BK366/12*10*$F366*$G366*$H366*$N366*$BL$11)</f>
        <v>2622326.4849599991</v>
      </c>
      <c r="BM366" s="123"/>
      <c r="BN366" s="123">
        <f>(BM366/12*2*$E366*$G366*$H366*$M366*$BN$11)+(BM366/12*10*$F366*$G366*$H366*$M366*$BN$11)</f>
        <v>0</v>
      </c>
      <c r="BO366" s="123">
        <v>2</v>
      </c>
      <c r="BP366" s="123">
        <f>(BO366*$F366*$G366*$H366*$M366*$BP$12)</f>
        <v>36309.293999999994</v>
      </c>
      <c r="BQ366" s="123"/>
      <c r="BR366" s="123">
        <f>(BQ366/12*2*$E366*$G366*$H366*$M366*$BR$11)+(BQ366/12*10*$F366*$G366*$H366*$M366*$BR$11)</f>
        <v>0</v>
      </c>
      <c r="BS366" s="123">
        <v>60</v>
      </c>
      <c r="BT366" s="123">
        <f>(BS366/12*2*$E366*$G366*$H366*$N366*$BT$11)+(BS366/12*10*$F366*$G366*$H366*$N366*$BT$11)</f>
        <v>1440838.7280000001</v>
      </c>
      <c r="BU366" s="123"/>
      <c r="BV366" s="126">
        <f>(BU366/12*2*$E366*$G366*$H366*$M366*$BV$11)+(BU366/12*10*$F366*$G366*$H366*$M366*$BV$11)</f>
        <v>0</v>
      </c>
      <c r="BW366" s="123"/>
      <c r="BX366" s="123">
        <f>(BW366/12*2*$E366*$G366*$H366*$M366*$BX$11)+(BW366/12*10*$F366*$G366*$H366*$M366*$BX$11)</f>
        <v>0</v>
      </c>
      <c r="BY366" s="123">
        <v>90</v>
      </c>
      <c r="BZ366" s="123">
        <f>(BY366/12*2*$E366*$G366*$H366*$M366*$BZ$11)+(BY366/12*10*$F366*$G366*$H366*$M366*$BZ$11)</f>
        <v>1801048.41</v>
      </c>
      <c r="CA366" s="123">
        <v>69</v>
      </c>
      <c r="CB366" s="123">
        <f>(CA366/12*2*$E366*$G366*$H366*$M366*$CB$11)+(CA366/12*10*$F366*$G366*$H366*$M366*$CB$11)</f>
        <v>1656964.5371999997</v>
      </c>
      <c r="CC366" s="123">
        <v>100</v>
      </c>
      <c r="CD366" s="123">
        <f>(CC366/12*2*$E366*$G366*$H366*$M366*$CD$11)+(CC366/12*10*$F366*$G366*$H366*$M366*$CD$11)</f>
        <v>2001164.9</v>
      </c>
      <c r="CE366" s="123">
        <v>38</v>
      </c>
      <c r="CF366" s="123">
        <f>(CE366/12*10*$F366*$G366*$H366*$N366*$CF$11)</f>
        <v>766529.53999999992</v>
      </c>
      <c r="CG366" s="132"/>
      <c r="CH366" s="123">
        <f>(CG366/12*2*$E366*$G366*$H366*$N366*$CH$11)+(CG366/12*10*$F366*$G366*$H366*$N366*$CH$11)</f>
        <v>0</v>
      </c>
      <c r="CI366" s="123"/>
      <c r="CJ366" s="127"/>
      <c r="CK366" s="123">
        <v>0</v>
      </c>
      <c r="CL366" s="123">
        <f>(CK366/12*2*$E366*$G366*$H366*$N366*$CL$11)+(CK366/12*10*$F366*$G366*$H366*$N366*$CL$12)</f>
        <v>0</v>
      </c>
      <c r="CM366" s="130">
        <v>5</v>
      </c>
      <c r="CN366" s="123">
        <f>(CM366/12*2*$E366*$G366*$H366*$N366*$CN$11)+(CM366/12*10*$F366*$G366*$H366*$N366*$CN$11)</f>
        <v>120069.894</v>
      </c>
      <c r="CO366" s="123">
        <v>35</v>
      </c>
      <c r="CP366" s="123">
        <v>96824.8</v>
      </c>
      <c r="CQ366" s="123">
        <v>10</v>
      </c>
      <c r="CR366" s="123">
        <f>(CQ366/12*2*$E366*$G366*$H366*$O366*$CR$11)+(CQ366/12*10*$F366*$G366*$H366*$O366*$CR$11)</f>
        <v>318756.98050000001</v>
      </c>
      <c r="CS366" s="123">
        <v>25</v>
      </c>
      <c r="CT366" s="133">
        <f>(CS366/12*2*$E366*$G366*$H366*$P366*$CT$11)+(CS366/12*10*$F366*$G366*$H366*$P366*$CT$11)</f>
        <v>918391.74875000003</v>
      </c>
      <c r="CU366" s="127"/>
      <c r="CV366" s="123">
        <f>(CU366*$E366*$G366*$H366*$M366*CV$11)/12*6+(CU366*$E366*$G366*$H366*1*CV$11)/12*6</f>
        <v>0</v>
      </c>
      <c r="CW366" s="126">
        <f t="shared" si="516"/>
        <v>1847</v>
      </c>
      <c r="CX366" s="126">
        <f t="shared" si="516"/>
        <v>43688424.932056658</v>
      </c>
    </row>
    <row r="367" spans="1:102" ht="60" customHeight="1" x14ac:dyDescent="0.25">
      <c r="A367" s="91"/>
      <c r="B367" s="116">
        <v>295</v>
      </c>
      <c r="C367" s="117" t="s">
        <v>852</v>
      </c>
      <c r="D367" s="161" t="s">
        <v>853</v>
      </c>
      <c r="E367" s="95">
        <v>28004</v>
      </c>
      <c r="F367" s="96">
        <v>29405</v>
      </c>
      <c r="G367" s="119">
        <v>0.64</v>
      </c>
      <c r="H367" s="107">
        <v>1</v>
      </c>
      <c r="I367" s="108"/>
      <c r="J367" s="108"/>
      <c r="K367" s="108"/>
      <c r="L367" s="63"/>
      <c r="M367" s="120">
        <v>1.4</v>
      </c>
      <c r="N367" s="120">
        <v>1.68</v>
      </c>
      <c r="O367" s="120">
        <v>2.23</v>
      </c>
      <c r="P367" s="121">
        <v>2.57</v>
      </c>
      <c r="Q367" s="122">
        <v>9</v>
      </c>
      <c r="R367" s="123">
        <f>(Q367/12*2*$E367*$G367*$H367*$M367*$R$11)+(Q367/12*10*$F367*$G367*$H367*$M367*$R$11)</f>
        <v>258762.87359999999</v>
      </c>
      <c r="S367" s="124">
        <v>1</v>
      </c>
      <c r="T367" s="125">
        <f>(S367/12*2*$E367*$G367*$H367*$M367*$R$11)+(S367/12*10*$F367*$G367*$H367*$M367*$R$11)</f>
        <v>28751.430399999997</v>
      </c>
      <c r="U367" s="123">
        <v>1</v>
      </c>
      <c r="V367" s="123">
        <f>(U367/12*2*$E367*$G367*$H367*$M367*$V$11)+(U367/12*10*$F367*$G367*$H367*$M367*$V$12)</f>
        <v>35055.828266666664</v>
      </c>
      <c r="W367" s="123"/>
      <c r="X367" s="126">
        <f>(W367/12*2*$E367*$G367*$H367*$M367*$X$11)+(W367/12*10*$F367*$G367*$H367*$M367*$X$12)</f>
        <v>0</v>
      </c>
      <c r="Y367" s="123"/>
      <c r="Z367" s="123">
        <f>(Y367/12*2*$E367*$G367*$H367*$M367*$Z$11)+(Y367/12*10*$F367*$G367*$H367*$M367*$Z$12)</f>
        <v>0</v>
      </c>
      <c r="AA367" s="123"/>
      <c r="AB367" s="123">
        <f>(AA367/12*2*$E367*$G367*$H367*$M367*$AB$11)+(AA367/12*10*$F367*$G367*$H367*$M367*$AB$11)</f>
        <v>0</v>
      </c>
      <c r="AC367" s="123"/>
      <c r="AD367" s="123"/>
      <c r="AE367" s="123"/>
      <c r="AF367" s="127">
        <f>(AE367/12*2*$E367*$G367*$H367*$M367*$AF$11)+(AE367/12*10*$F367*$G367*$H367*$M367*$AF$11)</f>
        <v>0</v>
      </c>
      <c r="AG367" s="123">
        <v>5</v>
      </c>
      <c r="AH367" s="126">
        <f>(AG367/12*2*$E367*$G367*$H367*$M367*$AH$11)+(AG367/12*10*$F367*$G367*$H367*$M367*$AH$11)</f>
        <v>143757.15200000003</v>
      </c>
      <c r="AI367" s="130"/>
      <c r="AJ367" s="123">
        <f t="shared" si="514"/>
        <v>0</v>
      </c>
      <c r="AK367" s="123"/>
      <c r="AL367" s="123">
        <f t="shared" si="515"/>
        <v>0</v>
      </c>
      <c r="AM367" s="132"/>
      <c r="AN367" s="123">
        <f>(AM367/12*2*$E367*$G367*$H367*$N367*$AN$11)+(AM367/12*10*$F367*$G367*$H367*$N367*$AN$12)</f>
        <v>0</v>
      </c>
      <c r="AO367" s="130"/>
      <c r="AP367" s="127">
        <f>(AO367/12*2*$E367*$G367*$H367*$N367*$AP$11)+(AO367/12*10*$F367*$G367*$H367*$N367*$AP$11)</f>
        <v>0</v>
      </c>
      <c r="AQ367" s="127">
        <v>0</v>
      </c>
      <c r="AR367" s="127">
        <v>0</v>
      </c>
      <c r="AS367" s="123"/>
      <c r="AT367" s="123">
        <f>(AS367/12*2*$E367*$G367*$H367*$M367*$AT$11)+(AS367/12*10*$F367*$G367*$H367*$M367*$AT$11)</f>
        <v>0</v>
      </c>
      <c r="AU367" s="123"/>
      <c r="AV367" s="126">
        <f>(AU367/12*2*$E367*$G367*$H367*$M367*$AV$11)+(AU367/12*10*$F367*$G367*$H367*$M367*$AV$12)</f>
        <v>0</v>
      </c>
      <c r="AW367" s="123"/>
      <c r="AX367" s="123">
        <f>(AW367/12*2*$E367*$G367*$H367*$M367*$AX$11)+(AW367/12*10*$F367*$G367*$H367*$M367*$AX$12)</f>
        <v>0</v>
      </c>
      <c r="AY367" s="123">
        <v>6</v>
      </c>
      <c r="AZ367" s="123">
        <f>(AY367/12*2*$E367*$G367*$H367*$N367*$AZ$11)+(AY367/12*10*$F367*$G367*$H367*$N367*$AZ$11)</f>
        <v>207010.29888000002</v>
      </c>
      <c r="BA367" s="123"/>
      <c r="BB367" s="123">
        <f>(BA367/12*2*$E367*$G367*$H367*$N367*$BB$11)+(BA367/12*10*$F367*$G367*$H367*$N367*$BB$12)</f>
        <v>0</v>
      </c>
      <c r="BC367" s="123"/>
      <c r="BD367" s="126">
        <f>(BC367/12*2*$E367*$G367*$H367*$N367*$BD$11)+(BC367/12*10*$F367*$G367*$H367*$N367*$BD$12)</f>
        <v>0</v>
      </c>
      <c r="BE367" s="123"/>
      <c r="BF367" s="123">
        <f>(BE367/12*10*$F367*$G367*$H367*$N367*$BF$12)</f>
        <v>0</v>
      </c>
      <c r="BG367" s="123"/>
      <c r="BH367" s="123">
        <f>(BG367/12*2*$E367*$G367*$H367*$N367*$BH$11)+(BG367/12*10*$F367*$G367*$H367*$N367*$BH$11)</f>
        <v>0</v>
      </c>
      <c r="BI367" s="123">
        <v>5</v>
      </c>
      <c r="BJ367" s="126">
        <f>(BI367/12*2*$E367*$G367*$H367*$N367*$BJ$11)+(BI367/12*10*$F367*$G367*$H367*$N367*$BJ$11)</f>
        <v>188191.18080000003</v>
      </c>
      <c r="BK367" s="123"/>
      <c r="BL367" s="127">
        <f>(BK367/12*2*$E367*$G367*$H367*$N367*$BL$11)+(BK367/12*10*$F367*$G367*$H367*$N367*$BL$11)</f>
        <v>0</v>
      </c>
      <c r="BM367" s="123"/>
      <c r="BN367" s="123">
        <f>(BM367/12*2*$E367*$G367*$H367*$M367*$BN$11)+(BM367/12*10*$F367*$G367*$H367*$M367*$BN$11)</f>
        <v>0</v>
      </c>
      <c r="BO367" s="123"/>
      <c r="BP367" s="123">
        <f>(BO367/12*2*$E367*$G367*$H367*$M367*$BP$11)+(BO367/12*10*$F367*$G367*$H367*$M367*$BP$12)</f>
        <v>0</v>
      </c>
      <c r="BQ367" s="123"/>
      <c r="BR367" s="123">
        <f>(BQ367/12*2*$E367*$G367*$H367*$M367*$BR$11)+(BQ367/12*10*$F367*$G367*$H367*$M367*$BR$11)</f>
        <v>0</v>
      </c>
      <c r="BS367" s="123">
        <v>1</v>
      </c>
      <c r="BT367" s="123">
        <f>(BS367/12*2*$E367*$G367*$H367*$N367*$BT$11)+(BS367/12*10*$F367*$G367*$H367*$N367*$BT$11)</f>
        <v>31365.196799999998</v>
      </c>
      <c r="BU367" s="123"/>
      <c r="BV367" s="126">
        <f>(BU367/12*2*$E367*$G367*$H367*$M367*$BV$11)+(BU367/12*10*$F367*$G367*$H367*$M367*$BV$11)</f>
        <v>0</v>
      </c>
      <c r="BW367" s="123"/>
      <c r="BX367" s="123">
        <f>(BW367/12*2*$E367*$G367*$H367*$M367*$BX$11)+(BW367/12*10*$F367*$G367*$H367*$M367*$BX$11)</f>
        <v>0</v>
      </c>
      <c r="BY367" s="123"/>
      <c r="BZ367" s="123">
        <f>(BY367/12*2*$E367*$G367*$H367*$M367*$BZ$11)+(BY367/12*10*$F367*$G367*$H367*$M367*$BZ$11)</f>
        <v>0</v>
      </c>
      <c r="CA367" s="123"/>
      <c r="CB367" s="123">
        <f>(CA367/12*2*$E367*$G367*$H367*$M367*$CB$11)+(CA367/12*10*$F367*$G367*$H367*$M367*$CB$11)</f>
        <v>0</v>
      </c>
      <c r="CC367" s="123"/>
      <c r="CD367" s="123">
        <f>(CC367/12*2*$E367*$G367*$H367*$M367*$CD$11)+(CC367/12*10*$F367*$G367*$H367*$M367*$CD$11)</f>
        <v>0</v>
      </c>
      <c r="CE367" s="123"/>
      <c r="CF367" s="123">
        <f>(CE367/12*10*$F367*$G367*$H367*$N367*$CF$11)</f>
        <v>0</v>
      </c>
      <c r="CG367" s="132"/>
      <c r="CH367" s="123">
        <f>(CG367/12*2*$E367*$G367*$H367*$N367*$CH$11)+(CG367/12*10*$F367*$G367*$H367*$N367*$CH$11)</f>
        <v>0</v>
      </c>
      <c r="CI367" s="123"/>
      <c r="CJ367" s="127"/>
      <c r="CK367" s="123"/>
      <c r="CL367" s="123">
        <f>(CK367/12*2*$E367*$G367*$H367*$N367*$CL$11)+(CK367/12*10*$F367*$G367*$H367*$N367*$CL$12)</f>
        <v>0</v>
      </c>
      <c r="CM367" s="130"/>
      <c r="CN367" s="123">
        <f>(CM367/12*2*$E367*$G367*$H367*$N367*$CN$11)+(CM367/12*10*$F367*$G367*$H367*$N367*$CN$11)</f>
        <v>0</v>
      </c>
      <c r="CO367" s="123">
        <v>0</v>
      </c>
      <c r="CP367" s="123">
        <v>0</v>
      </c>
      <c r="CQ367" s="123"/>
      <c r="CR367" s="123">
        <f>(CQ367/12*2*$E367*$G367*$H367*$O367*$CR$11)+(CQ367/12*10*$F367*$G367*$H367*$O367*$CR$11)</f>
        <v>0</v>
      </c>
      <c r="CS367" s="123"/>
      <c r="CT367" s="133">
        <f>(CS367/12*2*$E367*$G367*$H367*$P367*$CT$11)+(CS367/12*10*$F367*$G367*$H367*$P367*$CT$11)</f>
        <v>0</v>
      </c>
      <c r="CU367" s="127"/>
      <c r="CV367" s="123">
        <f>(CU367*$E367*$G367*$H367*$M367*CV$11)/12*6+(CU367*$E367*$G367*$H367*1*CV$11)/12*6</f>
        <v>0</v>
      </c>
      <c r="CW367" s="126">
        <f t="shared" si="516"/>
        <v>28</v>
      </c>
      <c r="CX367" s="126">
        <f t="shared" si="516"/>
        <v>892893.96074666688</v>
      </c>
    </row>
    <row r="368" spans="1:102" ht="24" customHeight="1" x14ac:dyDescent="0.25">
      <c r="A368" s="277" t="s">
        <v>163</v>
      </c>
      <c r="B368" s="116">
        <v>296</v>
      </c>
      <c r="C368" s="117" t="s">
        <v>854</v>
      </c>
      <c r="D368" s="161" t="s">
        <v>855</v>
      </c>
      <c r="E368" s="95">
        <v>28004</v>
      </c>
      <c r="F368" s="96">
        <v>29405</v>
      </c>
      <c r="G368" s="119">
        <v>0.73</v>
      </c>
      <c r="H368" s="107">
        <v>1</v>
      </c>
      <c r="I368" s="108"/>
      <c r="J368" s="108"/>
      <c r="K368" s="108"/>
      <c r="L368" s="63"/>
      <c r="M368" s="120">
        <v>1.4</v>
      </c>
      <c r="N368" s="120">
        <v>1.68</v>
      </c>
      <c r="O368" s="120">
        <v>2.23</v>
      </c>
      <c r="P368" s="121">
        <v>2.57</v>
      </c>
      <c r="Q368" s="122">
        <v>82</v>
      </c>
      <c r="R368" s="123">
        <f>(Q368/12*2*$E368*$G368*$H368*$M368)+(Q368/12*10*$F368*$G368*$H368*$M368)</f>
        <v>2444688.3859999995</v>
      </c>
      <c r="S368" s="124"/>
      <c r="T368" s="125">
        <f>(S368/12*2*$E368*$G368*$H368*$M368)+(S368/12*10*$F368*$G368*$H368*$M368)</f>
        <v>0</v>
      </c>
      <c r="U368" s="123"/>
      <c r="V368" s="123">
        <f>(U368/12*2*$E368*$G368*$H368*$M368)+(U368/12*10*$F368*$G368*$H368*$M368)</f>
        <v>0</v>
      </c>
      <c r="W368" s="123"/>
      <c r="X368" s="123">
        <f>(W368/12*2*$E368*$G368*$H368*$M368)+(W368/12*10*$F368*$G368*$H368*$M368)</f>
        <v>0</v>
      </c>
      <c r="Y368" s="123"/>
      <c r="Z368" s="123">
        <f>(Y368/12*2*$E368*$G368*$H368*$M368)+(Y368/12*10*$F368*$G368*$H368*$M368)</f>
        <v>0</v>
      </c>
      <c r="AA368" s="123"/>
      <c r="AB368" s="123">
        <f>(AA368/12*2*$E368*$G368*$H368*$M368)+(AA368/12*10*$F368*$G368*$H368*$M368)</f>
        <v>0</v>
      </c>
      <c r="AC368" s="123"/>
      <c r="AD368" s="123"/>
      <c r="AE368" s="123"/>
      <c r="AF368" s="127">
        <f>(AE368/12*2*$E368*$G368*$H368*$M368)+(AE368/12*10*$F368*$G368*$H368*$M368)</f>
        <v>0</v>
      </c>
      <c r="AG368" s="123">
        <v>80</v>
      </c>
      <c r="AH368" s="123">
        <f>(AG368/12*2*$E368*$G368*$H368*$M368)+(AG368/12*10*$F368*$G368*$H368*$M368)</f>
        <v>2385061.84</v>
      </c>
      <c r="AI368" s="130"/>
      <c r="AJ368" s="123">
        <f>(AI368/12*2*$E368*$G368*$H368*$M368)+(AI368/12*10*$F368*$G368*$H368*$M368)</f>
        <v>0</v>
      </c>
      <c r="AK368" s="123"/>
      <c r="AL368" s="126">
        <f>(AK368/12*2*$E368*$G368*$H368*$N368)+(AK368/12*10*$F368*$G368*$H368*$N368)</f>
        <v>0</v>
      </c>
      <c r="AM368" s="132"/>
      <c r="AN368" s="123">
        <f>(AM368/12*2*$E368*$G368*$H368*$N368)+(AM368/12*10*$F368*$G368*$H368*$N368)</f>
        <v>0</v>
      </c>
      <c r="AO368" s="130">
        <v>3</v>
      </c>
      <c r="AP368" s="123">
        <f>(AO368/12*2*$E368*$G368*$H368*$N368)+(AO368/12*10*$F368*$G368*$H368*$N368)</f>
        <v>107327.78279999999</v>
      </c>
      <c r="AQ368" s="123">
        <v>13</v>
      </c>
      <c r="AR368" s="123">
        <v>461937.04999999993</v>
      </c>
      <c r="AS368" s="123"/>
      <c r="AT368" s="123"/>
      <c r="AU368" s="123"/>
      <c r="AV368" s="123"/>
      <c r="AW368" s="123">
        <v>6</v>
      </c>
      <c r="AX368" s="123">
        <f>(AW368/12*2*$E368*$G368*$H368*$M368)+(AW368/12*10*$F368*$G368*$H368*$M368)</f>
        <v>178879.63799999998</v>
      </c>
      <c r="AY368" s="123">
        <v>50</v>
      </c>
      <c r="AZ368" s="123">
        <f>(AY368/12*2*$E368*$G368*$H368*$N368)+(AY368/12*10*$F368*$G368*$H368*$N368)</f>
        <v>1788796.38</v>
      </c>
      <c r="BA368" s="123"/>
      <c r="BB368" s="123">
        <f>(BA368/12*2*$E368*$G368*$H368*$N368)+(BA368/12*10*$F368*$G368*$H368*$N368)</f>
        <v>0</v>
      </c>
      <c r="BC368" s="123"/>
      <c r="BD368" s="123">
        <f>(BC368/12*2*$E368*$G368*$H368*$N368)+(BC368/12*10*$F368*$G368*$H368*$N368)</f>
        <v>0</v>
      </c>
      <c r="BE368" s="123">
        <v>14</v>
      </c>
      <c r="BF368" s="123">
        <f>(BE368/12*10*$F368*$G368*$H368*$N368)</f>
        <v>420726.74</v>
      </c>
      <c r="BG368" s="123">
        <v>9</v>
      </c>
      <c r="BH368" s="123">
        <f>(BG368/12*2*$E368*$G368*$H368*$N368)+(BG368/12*10*$F368*$G368*$H368*$N368)</f>
        <v>321983.34840000002</v>
      </c>
      <c r="BI368" s="123">
        <v>38</v>
      </c>
      <c r="BJ368" s="123">
        <f>(BI368/12*2*$E368*$G368*$H368*$N368)+(BI368/12*10*$F368*$G368*$H368*$N368)</f>
        <v>1359485.2487999997</v>
      </c>
      <c r="BK368" s="123">
        <v>18</v>
      </c>
      <c r="BL368" s="123">
        <f>(BK368/12*2*$E368*$G368*$H368*$N368)+(BK368/12*10*$F368*$G368*$H368*$N368)</f>
        <v>643966.69680000003</v>
      </c>
      <c r="BM368" s="123"/>
      <c r="BN368" s="123">
        <f>(BM368/12*2*$E368*$G368*$H368*$M368)+(BM368/12*10*$F368*$G368*$H368*$M368)</f>
        <v>0</v>
      </c>
      <c r="BO368" s="123"/>
      <c r="BP368" s="123">
        <f>(BO368/12*2*$E368*$G368*$H368*$M368)+(BO368/12*10*$F368*$G368*$H368*$M368)</f>
        <v>0</v>
      </c>
      <c r="BQ368" s="123"/>
      <c r="BR368" s="123">
        <f>(BQ368/12*2*$E368*$G368*$H368*$M368)+(BQ368/12*10*$F368*$G368*$H368*$M368)</f>
        <v>0</v>
      </c>
      <c r="BS368" s="123">
        <v>12</v>
      </c>
      <c r="BT368" s="123">
        <f>(BS368/12*2*$E368*$G368*$H368*$N368)+(BS368/12*10*$F368*$G368*$H368*$N368)</f>
        <v>429311.13119999995</v>
      </c>
      <c r="BU368" s="123"/>
      <c r="BV368" s="123">
        <f>(BU368/12*2*$E368*$G368*$H368*$M368)+(BU368/12*10*$F368*$G368*$H368*$M368)</f>
        <v>0</v>
      </c>
      <c r="BW368" s="123"/>
      <c r="BX368" s="123">
        <f>(BW368/12*2*$E368*$G368*$H368*$M368)+(BW368/12*10*$F368*$G368*$H368*$M368)</f>
        <v>0</v>
      </c>
      <c r="BY368" s="123"/>
      <c r="BZ368" s="123">
        <f>(BY368/12*2*$E368*$G368*$H368*$M368)+(BY368/12*10*$F368*$G368*$H368*$M368)</f>
        <v>0</v>
      </c>
      <c r="CA368" s="123">
        <v>12</v>
      </c>
      <c r="CB368" s="123">
        <f>(CA368/12*2*$E368*$G368*$H368*$M368)+(CA368/12*10*$F368*$G368*$H368*$M368)</f>
        <v>357759.27599999995</v>
      </c>
      <c r="CC368" s="123">
        <v>20</v>
      </c>
      <c r="CD368" s="123">
        <f>(CC368/12*2*$E368*$G368*$H368*$M368)+(CC368/12*10*$F368*$G368*$H368*$M368)</f>
        <v>596265.46</v>
      </c>
      <c r="CE368" s="123">
        <v>29</v>
      </c>
      <c r="CF368" s="123">
        <f>(CE368/12*10*$F368*$G368*$H368*$N368)</f>
        <v>871505.38999999978</v>
      </c>
      <c r="CG368" s="132"/>
      <c r="CH368" s="123">
        <f>(CG368/12*2*$E368*$G368*$H368*$N368)+(CG368/12*10*$F368*$G368*$H368*$N368)</f>
        <v>0</v>
      </c>
      <c r="CI368" s="123"/>
      <c r="CJ368" s="127">
        <f>(CI368*$E368*$G368*$H368*$N368)</f>
        <v>0</v>
      </c>
      <c r="CK368" s="123"/>
      <c r="CL368" s="123">
        <f>(CK368/12*2*$E368*$G368*$H368*$N368)+(CK368/12*10*$F368*$G368*$H368*$N368)</f>
        <v>0</v>
      </c>
      <c r="CM368" s="130"/>
      <c r="CN368" s="123">
        <f>(CM368/12*2*$E368*$G368*$H368*$N368)+(CM368/12*10*$F368*$G368*$H368*$N368)</f>
        <v>0</v>
      </c>
      <c r="CO368" s="123">
        <v>4</v>
      </c>
      <c r="CP368" s="123">
        <v>144249.16</v>
      </c>
      <c r="CQ368" s="123"/>
      <c r="CR368" s="123">
        <f>(CQ368/12*2*$E368*$G368*$H368*$O368)+(CQ368/12*10*$F368*$G368*$H368*$O368)</f>
        <v>0</v>
      </c>
      <c r="CS368" s="123">
        <v>3</v>
      </c>
      <c r="CT368" s="127">
        <f>(CS368/12*2*$E368*$G368*$H368*$P368)+(CS368/12*10*$F368*$G368*$H368*$P368)</f>
        <v>164185.95344999997</v>
      </c>
      <c r="CU368" s="127"/>
      <c r="CV368" s="127"/>
      <c r="CW368" s="126">
        <f>SUM(Q368,S368,U368,W368,Y368,AA368,AC368,AE368,AG368,AM368,BQ368,AI368,AU368,CC368,AW368,AY368,AK368,BC368,AO368,AQ368,BE368,CE368,BG368,BI368,BK368,BS368,BM368,BO368,BU368,BW368,BY368,CA368,CG368,BA368,AS368,CI368,CK368,CM368,CO368,CQ368,CS368,CU368)</f>
        <v>393</v>
      </c>
      <c r="CX368" s="126">
        <f>SUM(R368,T368,V368,X368,Z368,AB368,AD368,AF368,AH368,AN368,BR368,AJ368,AV368,CD368,AX368,AZ368,AL368,BD368,AP368,AR368,BF368,CF368,BH368,BJ368,BL368,BT368,BN368,BP368,BV368,BX368,BZ368,CB368,CH368,BB368,AT368,CJ368,CL368,CN368,CP368,CR368,CT368,CV368)</f>
        <v>12676129.481450001</v>
      </c>
    </row>
    <row r="369" spans="1:102" ht="45" customHeight="1" x14ac:dyDescent="0.25">
      <c r="A369" s="91"/>
      <c r="B369" s="116">
        <v>297</v>
      </c>
      <c r="C369" s="117" t="s">
        <v>856</v>
      </c>
      <c r="D369" s="161" t="s">
        <v>857</v>
      </c>
      <c r="E369" s="95">
        <v>28004</v>
      </c>
      <c r="F369" s="96">
        <v>29405</v>
      </c>
      <c r="G369" s="119">
        <v>0.67</v>
      </c>
      <c r="H369" s="107">
        <v>1</v>
      </c>
      <c r="I369" s="108"/>
      <c r="J369" s="108"/>
      <c r="K369" s="108"/>
      <c r="L369" s="63"/>
      <c r="M369" s="120">
        <v>1.4</v>
      </c>
      <c r="N369" s="120">
        <v>1.68</v>
      </c>
      <c r="O369" s="120">
        <v>2.23</v>
      </c>
      <c r="P369" s="121">
        <v>2.57</v>
      </c>
      <c r="Q369" s="122">
        <v>55</v>
      </c>
      <c r="R369" s="123">
        <f>(Q369/12*2*$E369*$G369*$H369*$M369*$R$11)+(Q369/12*10*$F369*$G369*$H369*$M369*$R$11)</f>
        <v>1655453.4534999998</v>
      </c>
      <c r="S369" s="124">
        <f>1+1</f>
        <v>2</v>
      </c>
      <c r="T369" s="125">
        <f>(S369/12*2*$E369*$G369*$H369*$M369*$R$11)+(S369/12*10*$F369*$G369*$H369*$M369*$R$11)</f>
        <v>60198.307399999991</v>
      </c>
      <c r="U369" s="123">
        <f>210-24</f>
        <v>186</v>
      </c>
      <c r="V369" s="123">
        <f>(U369/12*2*$E369*$G369*$H369*$M369*$V$11)+(U369/12*10*$F369*$G369*$H369*$M369*$V$12)</f>
        <v>6826027.0603000009</v>
      </c>
      <c r="W369" s="123">
        <v>10</v>
      </c>
      <c r="X369" s="126">
        <f>(W369/12*2*$E369*$G369*$H369*$M369*$X$11)+(W369/12*10*$F369*$G369*$H369*$M369*$X$12)</f>
        <v>366990.70216666674</v>
      </c>
      <c r="Y369" s="123"/>
      <c r="Z369" s="123">
        <f>(Y369/12*2*$E369*$G369*$H369*$M369*$Z$11)+(Y369/12*10*$F369*$G369*$H369*$M369*$Z$12)</f>
        <v>0</v>
      </c>
      <c r="AA369" s="123"/>
      <c r="AB369" s="123">
        <f>(AA369/12*2*$E369*$G369*$H369*$M369*$AB$11)+(AA369/12*10*$F369*$G369*$H369*$M369*$AB$11)</f>
        <v>0</v>
      </c>
      <c r="AC369" s="123"/>
      <c r="AD369" s="123"/>
      <c r="AE369" s="123">
        <v>8</v>
      </c>
      <c r="AF369" s="127">
        <f>(AE369/12*2*$E369*$G369*$H369*$M369*$AF$11)+(AE369/12*10*$F369*$G369*$H369*$M369*$AF$11)</f>
        <v>240793.22959999996</v>
      </c>
      <c r="AG369" s="123">
        <f>80-3</f>
        <v>77</v>
      </c>
      <c r="AH369" s="126">
        <f>(AG369/12*2*$E369*$G369*$H369*$M369*$AH$11)+(AG369/12*10*$F369*$G369*$H369*$M369*$AH$11)</f>
        <v>2317634.8349000006</v>
      </c>
      <c r="AI369" s="130"/>
      <c r="AJ369" s="123">
        <f t="shared" ref="AJ369:AJ371" si="517">(AI369/12*2*$E369*$G369*$H369*$M369*$AJ$11)+(AI369/12*5*$F369*$G369*$H369*$M369*$AJ$12)+(AI369/12*5*$F369*$G369*$H369*$M369*$AJ$13)</f>
        <v>0</v>
      </c>
      <c r="AK369" s="123"/>
      <c r="AL369" s="123">
        <f t="shared" ref="AL369:AL371" si="518">(AK369/12*2*$E369*$G369*$H369*$N369*$AL$11)+(AK369/12*5*$F369*$G369*$H369*$N369*$AL$12)++(AK369/12*5*$F369*$G369*$H369*$N369*$AL$13)</f>
        <v>0</v>
      </c>
      <c r="AM369" s="132"/>
      <c r="AN369" s="123">
        <f>(AM369/12*2*$E369*$G369*$H369*$N369*$AN$11)+(AM369/12*10*$F369*$G369*$H369*$N369*$AN$12)</f>
        <v>0</v>
      </c>
      <c r="AO369" s="130">
        <v>2</v>
      </c>
      <c r="AP369" s="127">
        <f>(AO369/12*2*$E369*$G369*$H369*$N369*$AP$11)+(AO369/12*10*$F369*$G369*$H369*$N369*$AP$11)</f>
        <v>72237.96888</v>
      </c>
      <c r="AQ369" s="127">
        <v>0</v>
      </c>
      <c r="AR369" s="127">
        <v>0</v>
      </c>
      <c r="AS369" s="123"/>
      <c r="AT369" s="123">
        <f>(AS369/12*2*$E369*$G369*$H369*$M369*$AT$11)+(AS369/12*10*$F369*$G369*$H369*$M369*$AT$11)</f>
        <v>0</v>
      </c>
      <c r="AU369" s="123"/>
      <c r="AV369" s="126">
        <f>(AU369/12*2*$E369*$G369*$H369*$M369*$AV$11)+(AU369/12*10*$F369*$G369*$H369*$M369*$AV$12)</f>
        <v>0</v>
      </c>
      <c r="AW369" s="123">
        <v>10</v>
      </c>
      <c r="AX369" s="123">
        <f>(AW369/12*2*$E369*$G369*$H369*$M369*$AX$11)+(AW369/12*10*$F369*$G369*$H369*$M369*$AX$12)</f>
        <v>314563.45899999997</v>
      </c>
      <c r="AY369" s="123">
        <v>80</v>
      </c>
      <c r="AZ369" s="123">
        <f>(AY369/12*2*$E369*$G369*$H369*$N369*$AZ$11)+(AY369/12*10*$F369*$G369*$H369*$N369*$AZ$11)</f>
        <v>2889518.7552000005</v>
      </c>
      <c r="BA369" s="123">
        <v>40</v>
      </c>
      <c r="BB369" s="123">
        <f>(BA369/12*2*$E369*$G369*$H369*$N369*$BB$11)+(BA369/12*10*$F369*$G369*$H369*$N369*$BB$12)</f>
        <v>1269286.5920000002</v>
      </c>
      <c r="BC369" s="123"/>
      <c r="BD369" s="126">
        <f>(BC369/12*2*$E369*$G369*$H369*$N369*$BD$11)+(BC369/12*10*$F369*$G369*$H369*$N369*$BD$12)</f>
        <v>0</v>
      </c>
      <c r="BE369" s="123">
        <v>25</v>
      </c>
      <c r="BF369" s="123">
        <f>(BE369/12*10*$F369*$G369*$H369*$N369*$BF$12)</f>
        <v>689547.25000000012</v>
      </c>
      <c r="BG369" s="123">
        <v>4</v>
      </c>
      <c r="BH369" s="123">
        <f>(BG369/12*2*$E369*$G369*$H369*$N369*$BH$11)+(BG369/12*10*$F369*$G369*$H369*$N369*$BH$11)</f>
        <v>118207.58544</v>
      </c>
      <c r="BI369" s="123">
        <v>20</v>
      </c>
      <c r="BJ369" s="126">
        <f>(BI369/12*2*$E369*$G369*$H369*$N369*$BJ$11)+(BI369/12*10*$F369*$G369*$H369*$N369*$BJ$11)</f>
        <v>788050.56960000005</v>
      </c>
      <c r="BK369" s="123">
        <v>20</v>
      </c>
      <c r="BL369" s="127">
        <f>(BK369/12*2*$E369*$G369*$H369*$N369*$BL$11)+(BK369/12*10*$F369*$G369*$H369*$N369*$BL$11)</f>
        <v>788050.56960000005</v>
      </c>
      <c r="BM369" s="123"/>
      <c r="BN369" s="123">
        <f>(BM369/12*2*$E369*$G369*$H369*$M369*$BN$11)+(BM369/12*10*$F369*$G369*$H369*$M369*$BN$11)</f>
        <v>0</v>
      </c>
      <c r="BO369" s="123">
        <v>6</v>
      </c>
      <c r="BP369" s="123">
        <f>(BO369*$F369*$G369*$H369*$M369*$BP$12)</f>
        <v>148942.20600000001</v>
      </c>
      <c r="BQ369" s="123"/>
      <c r="BR369" s="123">
        <f>(BQ369/12*2*$E369*$G369*$H369*$M369*$BR$11)+(BQ369/12*10*$F369*$G369*$H369*$M369*$BR$11)</f>
        <v>0</v>
      </c>
      <c r="BS369" s="123">
        <v>18</v>
      </c>
      <c r="BT369" s="123">
        <f>(BS369/12*2*$E369*$G369*$H369*$N369*$BT$11)+(BS369/12*10*$F369*$G369*$H369*$N369*$BT$11)</f>
        <v>591037.92719999992</v>
      </c>
      <c r="BU369" s="123"/>
      <c r="BV369" s="126">
        <f>(BU369/12*2*$E369*$G369*$H369*$M369*$BV$11)+(BU369/12*10*$F369*$G369*$H369*$M369*$BV$11)</f>
        <v>0</v>
      </c>
      <c r="BW369" s="123"/>
      <c r="BX369" s="123">
        <f>(BW369/12*2*$E369*$G369*$H369*$M369*$BX$11)+(BW369/12*10*$F369*$G369*$H369*$M369*$BX$11)</f>
        <v>0</v>
      </c>
      <c r="BY369" s="123"/>
      <c r="BZ369" s="123">
        <f>(BY369/12*2*$E369*$G369*$H369*$M369*$BZ$11)+(BY369/12*10*$F369*$G369*$H369*$M369*$BZ$11)</f>
        <v>0</v>
      </c>
      <c r="CA369" s="123">
        <v>25</v>
      </c>
      <c r="CB369" s="123">
        <f>(CA369/12*2*$E369*$G369*$H369*$M369*$CB$11)+(CA369/12*10*$F369*$G369*$H369*$M369*$CB$11)</f>
        <v>820886.01</v>
      </c>
      <c r="CC369" s="123">
        <v>8</v>
      </c>
      <c r="CD369" s="123">
        <f>(CC369/12*2*$E369*$G369*$H369*$M369*$CD$11)+(CC369/12*10*$F369*$G369*$H369*$M369*$CD$11)</f>
        <v>218902.93599999996</v>
      </c>
      <c r="CE369" s="123">
        <v>5</v>
      </c>
      <c r="CF369" s="123">
        <f>(CE369/12*10*$F369*$G369*$H369*$N369*$CF$11)</f>
        <v>137909.45000000001</v>
      </c>
      <c r="CG369" s="132"/>
      <c r="CH369" s="123">
        <f>(CG369/12*2*$E369*$G369*$H369*$N369*$CH$11)+(CG369/12*10*$F369*$G369*$H369*$N369*$CH$11)</f>
        <v>0</v>
      </c>
      <c r="CI369" s="123"/>
      <c r="CJ369" s="127"/>
      <c r="CK369" s="123"/>
      <c r="CL369" s="123">
        <f>(CK369/12*2*$E369*$G369*$H369*$N369*$CL$11)+(CK369/12*10*$F369*$G369*$H369*$N369*$CL$12)</f>
        <v>0</v>
      </c>
      <c r="CM369" s="130">
        <v>1</v>
      </c>
      <c r="CN369" s="123">
        <f>(CM369/12*2*$E369*$G369*$H369*$N369*$CN$11)+(CM369/12*10*$F369*$G369*$H369*$N369*$CN$11)</f>
        <v>32835.440399999992</v>
      </c>
      <c r="CO369" s="123"/>
      <c r="CP369" s="123">
        <f>(CO369/12*2*$E369*$G369*$H369*$N369*$CP$11)+(CO369/12*10*$F369*$G369*$H369*$N369*$CP$11)</f>
        <v>0</v>
      </c>
      <c r="CQ369" s="123">
        <v>4</v>
      </c>
      <c r="CR369" s="123">
        <f>(CQ369/12*2*$E369*$G369*$H369*$O369*$CR$11)+(CQ369/12*10*$F369*$G369*$H369*$O369*$CR$11)</f>
        <v>174340.55259999997</v>
      </c>
      <c r="CS369" s="123">
        <v>2</v>
      </c>
      <c r="CT369" s="133">
        <f>(CS369/12*2*$E369*$G369*$H369*$P369*$CT$11)+(CS369/12*10*$F369*$G369*$H369*$P369*$CT$11)</f>
        <v>100460.81169999998</v>
      </c>
      <c r="CU369" s="127"/>
      <c r="CV369" s="123">
        <f>(CU369*$E369*$G369*$H369*$M369*CV$11)/12*6+(CU369*$E369*$G369*$H369*1*CV$11)/12*6</f>
        <v>0</v>
      </c>
      <c r="CW369" s="126">
        <f t="shared" ref="CW369:CX380" si="519">SUM(Q369,S369,U369,W369,Y369,AA369,AC369,AE369,AG369,AM369,BQ369,AI369,AU369,CC369,AW369,AY369,AK369,BC369,AO369,AQ369,BE369,CE369,BG369,BI369,BK369,BS369,BM369,BO369,BU369,BW369,BY369,CA369,CG369,BA369,AS369,CI369,CK369,CM369,CO369,CQ369,CS369,CU369)</f>
        <v>608</v>
      </c>
      <c r="CX369" s="126">
        <f t="shared" si="519"/>
        <v>20621875.671486676</v>
      </c>
    </row>
    <row r="370" spans="1:102" ht="30.75" customHeight="1" x14ac:dyDescent="0.25">
      <c r="A370" s="91"/>
      <c r="B370" s="116">
        <v>298</v>
      </c>
      <c r="C370" s="117" t="s">
        <v>858</v>
      </c>
      <c r="D370" s="161" t="s">
        <v>859</v>
      </c>
      <c r="E370" s="95">
        <v>28004</v>
      </c>
      <c r="F370" s="96">
        <v>29405</v>
      </c>
      <c r="G370" s="107">
        <v>1.2</v>
      </c>
      <c r="H370" s="110">
        <v>0.8</v>
      </c>
      <c r="I370" s="108"/>
      <c r="J370" s="108"/>
      <c r="K370" s="108"/>
      <c r="L370" s="63"/>
      <c r="M370" s="120">
        <v>1.4</v>
      </c>
      <c r="N370" s="120">
        <v>1.68</v>
      </c>
      <c r="O370" s="120">
        <v>2.23</v>
      </c>
      <c r="P370" s="121">
        <v>2.57</v>
      </c>
      <c r="Q370" s="122">
        <v>98</v>
      </c>
      <c r="R370" s="123">
        <f>(Q370/12*2*$E370*$G370*$H370*$M370*$R$11)+(Q370/12*10*$F370*$G370*$H370*$M370*$R$11)</f>
        <v>4226460.2687999997</v>
      </c>
      <c r="S370" s="124"/>
      <c r="T370" s="125">
        <f>(S370/12*2*$E370*$G370*$H370*$M370*$R$11)+(S370/12*10*$F370*$G370*$H370*$M370*$R$11)</f>
        <v>0</v>
      </c>
      <c r="U370" s="123"/>
      <c r="V370" s="123">
        <f>(U370/12*2*$E370*$G370*$H370*$M370*$V$11)+(U370/12*10*$F370*$G370*$H370*$M370*$V$12)</f>
        <v>0</v>
      </c>
      <c r="W370" s="123"/>
      <c r="X370" s="126">
        <f>(W370/12*2*$E370*$G370*$H370*$M370*$X$11)+(W370/12*10*$F370*$G370*$H370*$M370*$X$12)</f>
        <v>0</v>
      </c>
      <c r="Y370" s="123">
        <f>4+3</f>
        <v>7</v>
      </c>
      <c r="Z370" s="123">
        <f>(Y370/12*2*$E370*$G370*$H370*$M370*$Z$11)+(Y370/12*10*$F370*$G370*$H370*$M370*$Z$12)</f>
        <v>368086.19680000003</v>
      </c>
      <c r="AA370" s="123"/>
      <c r="AB370" s="123">
        <f>(AA370/12*2*$E370*$G370*$H370*$M370*$AB$11)+(AA370/12*10*$F370*$G370*$H370*$M370*$AB$11)</f>
        <v>0</v>
      </c>
      <c r="AC370" s="123"/>
      <c r="AD370" s="123"/>
      <c r="AE370" s="123">
        <v>20</v>
      </c>
      <c r="AF370" s="127">
        <f>(AE370/12*2*$E370*$G370*$H370*$M370*$AF$11)+(AE370/12*10*$F370*$G370*$H370*$M370*$AF$11)</f>
        <v>862542.91200000001</v>
      </c>
      <c r="AG370" s="123">
        <v>174</v>
      </c>
      <c r="AH370" s="126">
        <f>(AG370/12*2*$E370*$G370*$H370*$M370*$AH$11)+(AG370/12*10*$F370*$G370*$H370*$M370*$AH$11)</f>
        <v>7504123.3344000001</v>
      </c>
      <c r="AI370" s="130"/>
      <c r="AJ370" s="123">
        <f t="shared" si="517"/>
        <v>0</v>
      </c>
      <c r="AK370" s="123"/>
      <c r="AL370" s="123">
        <f t="shared" si="518"/>
        <v>0</v>
      </c>
      <c r="AM370" s="132"/>
      <c r="AN370" s="123">
        <f>(AM370/12*2*$E370*$G370*$H370*$N370*$AN$11)+(AM370/12*10*$F370*$G370*$H370*$N370*$AN$12)</f>
        <v>0</v>
      </c>
      <c r="AO370" s="130"/>
      <c r="AP370" s="127">
        <f>(AO370/12*2*$E370*$G370*$H370*$N370*$AP$11)+(AO370/12*10*$F370*$G370*$H370*$N370*$AP$11)</f>
        <v>0</v>
      </c>
      <c r="AQ370" s="127">
        <v>11</v>
      </c>
      <c r="AR370" s="127">
        <v>568864.06000000006</v>
      </c>
      <c r="AS370" s="123"/>
      <c r="AT370" s="123">
        <f>(AS370/12*2*$E370*$G370*$H370*$M370*$AT$11)+(AS370/12*10*$F370*$G370*$H370*$M370*$AT$11)</f>
        <v>0</v>
      </c>
      <c r="AU370" s="123"/>
      <c r="AV370" s="126">
        <f>(AU370/12*2*$E370*$G370*$H370*$M370*$AV$11)+(AU370/12*10*$F370*$G370*$H370*$M370*$AV$12)</f>
        <v>0</v>
      </c>
      <c r="AW370" s="123">
        <v>4</v>
      </c>
      <c r="AX370" s="123">
        <f>(AW370/12*2*$E370*$G370*$H370*$M370*$AX$11)+(AW370/12*10*$F370*$G370*$H370*$M370*$AX$12)</f>
        <v>180287.11679999999</v>
      </c>
      <c r="AY370" s="123">
        <v>95</v>
      </c>
      <c r="AZ370" s="123">
        <f>(AY370/12*2*$E370*$G370*$H370*$N370*$AZ$11)+(AY370/12*10*$F370*$G370*$H370*$N370*$AZ$11)</f>
        <v>4916494.5984000005</v>
      </c>
      <c r="BA370" s="123"/>
      <c r="BB370" s="123">
        <f>(BA370/12*2*$E370*$G370*$H370*$N370*$BB$11)+(BA370/12*10*$F370*$G370*$H370*$N370*$BB$12)</f>
        <v>0</v>
      </c>
      <c r="BC370" s="123"/>
      <c r="BD370" s="126">
        <f>(BC370/12*2*$E370*$G370*$H370*$N370*$BD$11)+(BC370/12*10*$F370*$G370*$H370*$N370*$BD$12)</f>
        <v>0</v>
      </c>
      <c r="BE370" s="123">
        <v>10</v>
      </c>
      <c r="BF370" s="123">
        <f>(BE370/12*10*$F370*$G370*$H370*$N370*$BF$12)</f>
        <v>395203.2</v>
      </c>
      <c r="BG370" s="123"/>
      <c r="BH370" s="123">
        <f>(BG370/12*2*$E370*$G370*$H370*$N370*$BH$11)+(BG370/12*10*$F370*$G370*$H370*$N370*$BH$11)</f>
        <v>0</v>
      </c>
      <c r="BI370" s="123">
        <v>9</v>
      </c>
      <c r="BJ370" s="126">
        <f>(BI370/12*2*$E370*$G370*$H370*$N370*$BJ$11)+(BI370/12*10*$F370*$G370*$H370*$N370*$BJ$11)</f>
        <v>508116.18816000002</v>
      </c>
      <c r="BK370" s="123">
        <v>7</v>
      </c>
      <c r="BL370" s="127">
        <f>(BK370/12*2*$E370*$G370*$H370*$N370*$BL$11)+(BK370/12*10*$F370*$G370*$H370*$N370*$BL$11)</f>
        <v>395201.47967999999</v>
      </c>
      <c r="BM370" s="123"/>
      <c r="BN370" s="123">
        <f>(BM370/12*2*$E370*$G370*$H370*$M370*$BN$11)+(BM370/12*10*$F370*$G370*$H370*$M370*$BN$11)</f>
        <v>0</v>
      </c>
      <c r="BO370" s="123"/>
      <c r="BP370" s="123">
        <f>(BO370/12*2*$E370*$G370*$H370*$M370*$BP$11)+(BO370/12*10*$F370*$G370*$H370*$M370*$BP$12)</f>
        <v>0</v>
      </c>
      <c r="BQ370" s="123"/>
      <c r="BR370" s="123">
        <f>(BQ370/12*2*$E370*$G370*$H370*$M370*$BR$11)+(BQ370/12*10*$F370*$G370*$H370*$M370*$BR$11)</f>
        <v>0</v>
      </c>
      <c r="BS370" s="123">
        <v>2</v>
      </c>
      <c r="BT370" s="123">
        <f>(BS370/12*2*$E370*$G370*$H370*$N370*$BT$11)+(BS370/12*10*$F370*$G370*$H370*$N370*$BT$11)</f>
        <v>94095.590400000001</v>
      </c>
      <c r="BU370" s="123"/>
      <c r="BV370" s="126">
        <f>(BU370/12*2*$E370*$G370*$H370*$M370*$BV$11)+(BU370/12*10*$F370*$G370*$H370*$M370*$BV$11)</f>
        <v>0</v>
      </c>
      <c r="BW370" s="123"/>
      <c r="BX370" s="123">
        <f>(BW370/12*2*$E370*$G370*$H370*$M370*$BX$11)+(BW370/12*10*$F370*$G370*$H370*$M370*$BX$11)</f>
        <v>0</v>
      </c>
      <c r="BY370" s="123">
        <v>1</v>
      </c>
      <c r="BZ370" s="123">
        <f>(BY370/12*2*$E370*$G370*$H370*$M370*$BZ$11)+(BY370/12*10*$F370*$G370*$H370*$M370*$BZ$11)</f>
        <v>39206.495999999999</v>
      </c>
      <c r="CA370" s="123">
        <v>2</v>
      </c>
      <c r="CB370" s="123">
        <f>(CA370/12*2*$E370*$G370*$H370*$M370*$CB$11)+(CA370/12*10*$F370*$G370*$H370*$M370*$CB$11)</f>
        <v>94095.590400000001</v>
      </c>
      <c r="CC370" s="123">
        <v>3</v>
      </c>
      <c r="CD370" s="123">
        <f>(CC370/12*2*$E370*$G370*$H370*$M370*$CD$11)+(CC370/12*10*$F370*$G370*$H370*$M370*$CD$11)</f>
        <v>117619.48799999998</v>
      </c>
      <c r="CE370" s="123">
        <v>4</v>
      </c>
      <c r="CF370" s="123">
        <f>(CE370/12*10*$F370*$G370*$H370*$N370*$CF$11)</f>
        <v>158081.28</v>
      </c>
      <c r="CG370" s="132"/>
      <c r="CH370" s="123">
        <f>(CG370/12*2*$E370*$G370*$H370*$N370*$CH$11)+(CG370/12*10*$F370*$G370*$H370*$N370*$CH$11)</f>
        <v>0</v>
      </c>
      <c r="CI370" s="123"/>
      <c r="CJ370" s="127"/>
      <c r="CK370" s="123"/>
      <c r="CL370" s="123">
        <f>(CK370/12*2*$E370*$G370*$H370*$N370*$CL$11)+(CK370/12*10*$F370*$G370*$H370*$N370*$CL$12)</f>
        <v>0</v>
      </c>
      <c r="CM370" s="130"/>
      <c r="CN370" s="123">
        <f>(CM370/12*2*$E370*$G370*$H370*$N370*$CN$11)+(CM370/12*10*$F370*$G370*$H370*$N370*$CN$11)</f>
        <v>0</v>
      </c>
      <c r="CO370" s="123"/>
      <c r="CP370" s="123">
        <f>(CO370/12*2*$E370*$G370*$H370*$N370*$CP$11)+(CO370/12*10*$F370*$G370*$H370*$N370*$CP$11)</f>
        <v>0</v>
      </c>
      <c r="CQ370" s="123"/>
      <c r="CR370" s="123">
        <f>(CQ370/12*2*$E370*$G370*$H370*$O370*$CR$11)+(CQ370/12*10*$F370*$G370*$H370*$O370*$CR$11)</f>
        <v>0</v>
      </c>
      <c r="CS370" s="123"/>
      <c r="CT370" s="133">
        <f>(CS370/12*2*$E370*$G370*$H370*$P370*$CT$11)+(CS370/12*10*$F370*$G370*$H370*$P370*$CT$11)</f>
        <v>0</v>
      </c>
      <c r="CU370" s="127"/>
      <c r="CV370" s="123">
        <f>(CU370*$E370*$G370*$H370*$M370*CV$11)/12*6+(CU370*$E370*$G370*$H370*1*CV$11)/12*6</f>
        <v>0</v>
      </c>
      <c r="CW370" s="126">
        <f t="shared" si="519"/>
        <v>447</v>
      </c>
      <c r="CX370" s="126">
        <f t="shared" si="519"/>
        <v>20428477.79984</v>
      </c>
    </row>
    <row r="371" spans="1:102" ht="30" customHeight="1" x14ac:dyDescent="0.25">
      <c r="A371" s="91"/>
      <c r="B371" s="116">
        <v>299</v>
      </c>
      <c r="C371" s="117" t="s">
        <v>860</v>
      </c>
      <c r="D371" s="161" t="s">
        <v>861</v>
      </c>
      <c r="E371" s="95">
        <v>28004</v>
      </c>
      <c r="F371" s="96">
        <v>29405</v>
      </c>
      <c r="G371" s="119">
        <v>1.42</v>
      </c>
      <c r="H371" s="110">
        <v>0.85</v>
      </c>
      <c r="I371" s="108"/>
      <c r="J371" s="108"/>
      <c r="K371" s="108"/>
      <c r="L371" s="63"/>
      <c r="M371" s="120">
        <v>1.4</v>
      </c>
      <c r="N371" s="120">
        <v>1.68</v>
      </c>
      <c r="O371" s="120">
        <v>2.23</v>
      </c>
      <c r="P371" s="121">
        <v>2.57</v>
      </c>
      <c r="Q371" s="122">
        <v>3</v>
      </c>
      <c r="R371" s="123">
        <f>(Q371/12*2*$E371*$G371*$H371*$M371*$R$11)+(Q371/12*10*$F371*$G371*$H371*$M371*$R$11)</f>
        <v>162670.20230999999</v>
      </c>
      <c r="S371" s="124">
        <v>2</v>
      </c>
      <c r="T371" s="125">
        <f>(S371/12*2*$E371*$G371*$H371*$M371*$R$11)+(S371/12*10*$F371*$G371*$H371*$M371*$R$11)</f>
        <v>108446.80153999999</v>
      </c>
      <c r="U371" s="123"/>
      <c r="V371" s="123">
        <f>(U371/12*2*$E371*$G371*$H371*$M371*$V$11)+(U371/12*10*$F371*$G371*$H371*$M371*$V$12)</f>
        <v>0</v>
      </c>
      <c r="W371" s="123"/>
      <c r="X371" s="126">
        <f>(W371/12*2*$E371*$G371*$H371*$M371*$X$11)+(W371/12*10*$F371*$G371*$H371*$M371*$X$12)</f>
        <v>0</v>
      </c>
      <c r="Y371" s="123">
        <f>1+9</f>
        <v>10</v>
      </c>
      <c r="Z371" s="123">
        <f>(Y371/12*2*$E371*$G371*$H371*$M371*$Z$11)+(Y371/12*10*$F371*$G371*$H371*$M371*$Z$12)</f>
        <v>661131.01121666667</v>
      </c>
      <c r="AA371" s="123"/>
      <c r="AB371" s="123">
        <f>(AA371/12*2*$E371*$G371*$H371*$M371*$AB$11)+(AA371/12*10*$F371*$G371*$H371*$M371*$AB$11)</f>
        <v>0</v>
      </c>
      <c r="AC371" s="123"/>
      <c r="AD371" s="123"/>
      <c r="AE371" s="123">
        <v>20</v>
      </c>
      <c r="AF371" s="127">
        <f>(AE371/12*2*$E371*$G371*$H371*$M371*$AF$11)+(AE371/12*10*$F371*$G371*$H371*$M371*$AF$11)</f>
        <v>1084468.0153999999</v>
      </c>
      <c r="AG371" s="123">
        <f>10+10</f>
        <v>20</v>
      </c>
      <c r="AH371" s="126">
        <f>(AG371/12*2*$E371*$G371*$H371*$M371*$AH$11)+(AG371/12*10*$F371*$G371*$H371*$M371*$AH$11)</f>
        <v>1084468.0153999999</v>
      </c>
      <c r="AI371" s="130">
        <v>14</v>
      </c>
      <c r="AJ371" s="123">
        <f t="shared" si="517"/>
        <v>891353.81302333344</v>
      </c>
      <c r="AK371" s="123"/>
      <c r="AL371" s="123">
        <f t="shared" si="518"/>
        <v>0</v>
      </c>
      <c r="AM371" s="129">
        <f>14+3</f>
        <v>17</v>
      </c>
      <c r="AN371" s="123">
        <f>(AM371/12*2*$E371*$G371*$H371*$N371*$AN$11)+(AM371/12*10*$F371*$G371*$H371*$N371*$AN$12)</f>
        <v>1348707.2628819998</v>
      </c>
      <c r="AO371" s="130"/>
      <c r="AP371" s="127">
        <f>(AO371/12*2*$E371*$G371*$H371*$N371*$AP$11)+(AO371/12*10*$F371*$G371*$H371*$N371*$AP$11)</f>
        <v>0</v>
      </c>
      <c r="AQ371" s="127">
        <v>1</v>
      </c>
      <c r="AR371" s="127">
        <v>62463.93</v>
      </c>
      <c r="AS371" s="123"/>
      <c r="AT371" s="123">
        <f>(AS371/12*2*$E371*$G371*$H371*$M371*$AT$11)+(AS371/12*10*$F371*$G371*$H371*$M371*$AT$11)</f>
        <v>0</v>
      </c>
      <c r="AU371" s="123"/>
      <c r="AV371" s="126">
        <f>(AU371/12*2*$E371*$G371*$H371*$M371*$AV$11)+(AU371/12*10*$F371*$G371*$H371*$M371*$AV$12)</f>
        <v>0</v>
      </c>
      <c r="AW371" s="123">
        <v>3</v>
      </c>
      <c r="AX371" s="123">
        <f>(AW371/12*2*$E371*$G371*$H371*$M371*$AX$11)+(AW371/12*10*$F371*$G371*$H371*$M371*$AX$12)</f>
        <v>170005.11716999998</v>
      </c>
      <c r="AY371" s="123">
        <v>120</v>
      </c>
      <c r="AZ371" s="123">
        <f>(AY371/12*2*$E371*$G371*$H371*$N371*$AZ$11)+(AY371/12*10*$F371*$G371*$H371*$N371*$AZ$11)</f>
        <v>7808169.7108800001</v>
      </c>
      <c r="BA371" s="123"/>
      <c r="BB371" s="123">
        <f>(BA371/12*2*$E371*$G371*$H371*$N371*$BB$11)+(BA371/12*10*$F371*$G371*$H371*$N371*$BB$12)</f>
        <v>0</v>
      </c>
      <c r="BC371" s="123"/>
      <c r="BD371" s="126">
        <f>(BC371/12*2*$E371*$G371*$H371*$N371*$BD$11)+(BC371/12*10*$F371*$G371*$H371*$N371*$BD$12)</f>
        <v>0</v>
      </c>
      <c r="BE371" s="123"/>
      <c r="BF371" s="123">
        <f>(BE371/12*10*$F371*$G371*$H371*$N371*$BF$12)</f>
        <v>0</v>
      </c>
      <c r="BG371" s="123"/>
      <c r="BH371" s="123">
        <f>(BG371/12*2*$E371*$G371*$H371*$N371*$BH$11)+(BG371/12*10*$F371*$G371*$H371*$N371*$BH$11)</f>
        <v>0</v>
      </c>
      <c r="BI371" s="123"/>
      <c r="BJ371" s="126">
        <f>(BI371/12*2*$E371*$G371*$H371*$N371*$BJ$11)+(BI371/12*10*$F371*$G371*$H371*$N371*$BJ$11)</f>
        <v>0</v>
      </c>
      <c r="BK371" s="123">
        <v>1</v>
      </c>
      <c r="BL371" s="127">
        <f>(BK371/12*2*$E371*$G371*$H371*$N371*$BL$11)+(BK371/12*10*$F371*$G371*$H371*$N371*$BL$11)</f>
        <v>70983.361007999993</v>
      </c>
      <c r="BM371" s="123"/>
      <c r="BN371" s="123">
        <f>(BM371/12*2*$E371*$G371*$H371*$M371*$BN$11)+(BM371/12*10*$F371*$G371*$H371*$M371*$BN$11)</f>
        <v>0</v>
      </c>
      <c r="BO371" s="123"/>
      <c r="BP371" s="123">
        <f>(BO371/12*2*$E371*$G371*$H371*$M371*$BP$11)+(BO371/12*10*$F371*$G371*$H371*$M371*$BP$12)</f>
        <v>0</v>
      </c>
      <c r="BQ371" s="123"/>
      <c r="BR371" s="123">
        <f>(BQ371/12*2*$E371*$G371*$H371*$M371*$BR$11)+(BQ371/12*10*$F371*$G371*$H371*$M371*$BR$11)</f>
        <v>0</v>
      </c>
      <c r="BS371" s="123"/>
      <c r="BT371" s="123">
        <f>(BS371/12*2*$E371*$G371*$H371*$N371*$BT$11)+(BS371/12*10*$F371*$G371*$H371*$N371*$BT$11)</f>
        <v>0</v>
      </c>
      <c r="BU371" s="123"/>
      <c r="BV371" s="126">
        <f>(BU371/12*2*$E371*$G371*$H371*$M371*$BV$11)+(BU371/12*10*$F371*$G371*$H371*$M371*$BV$11)</f>
        <v>0</v>
      </c>
      <c r="BW371" s="123"/>
      <c r="BX371" s="123">
        <f>(BW371/12*2*$E371*$G371*$H371*$M371*$BX$11)+(BW371/12*10*$F371*$G371*$H371*$M371*$BX$11)</f>
        <v>0</v>
      </c>
      <c r="BY371" s="123">
        <v>1</v>
      </c>
      <c r="BZ371" s="123">
        <f>(BY371/12*2*$E371*$G371*$H371*$M371*$BZ$11)+(BY371/12*10*$F371*$G371*$H371*$M371*$BZ$11)</f>
        <v>49294.00069999999</v>
      </c>
      <c r="CA371" s="123"/>
      <c r="CB371" s="123">
        <f>(CA371/12*2*$E371*$G371*$H371*$M371*$CB$11)+(CA371/12*10*$F371*$G371*$H371*$M371*$CB$11)</f>
        <v>0</v>
      </c>
      <c r="CC371" s="123"/>
      <c r="CD371" s="123">
        <f>(CC371/12*2*$E371*$G371*$H371*$M371*$CD$11)+(CC371/12*10*$F371*$G371*$H371*$M371*$CD$11)</f>
        <v>0</v>
      </c>
      <c r="CE371" s="123"/>
      <c r="CF371" s="123">
        <f>(CE371/12*10*$F371*$G371*$H371*$N371*$CF$11)</f>
        <v>0</v>
      </c>
      <c r="CG371" s="132"/>
      <c r="CH371" s="123">
        <f>(CG371/12*2*$E371*$G371*$H371*$N371*$CH$11)+(CG371/12*10*$F371*$G371*$H371*$N371*$CH$11)</f>
        <v>0</v>
      </c>
      <c r="CI371" s="123"/>
      <c r="CJ371" s="127"/>
      <c r="CK371" s="123"/>
      <c r="CL371" s="123">
        <f>(CK371/12*2*$E371*$G371*$H371*$N371*$CL$11)+(CK371/12*10*$F371*$G371*$H371*$N371*$CL$12)</f>
        <v>0</v>
      </c>
      <c r="CM371" s="130"/>
      <c r="CN371" s="123">
        <f>(CM371/12*2*$E371*$G371*$H371*$N371*$CN$11)+(CM371/12*10*$F371*$G371*$H371*$N371*$CN$11)</f>
        <v>0</v>
      </c>
      <c r="CO371" s="123"/>
      <c r="CP371" s="123">
        <f>(CO371/12*2*$E371*$G371*$H371*$N371*$CP$11)+(CO371/12*10*$F371*$G371*$H371*$N371*$CP$11)</f>
        <v>0</v>
      </c>
      <c r="CQ371" s="123"/>
      <c r="CR371" s="123">
        <f>(CQ371/12*2*$E371*$G371*$H371*$O371*$CR$11)+(CQ371/12*10*$F371*$G371*$H371*$O371*$CR$11)</f>
        <v>0</v>
      </c>
      <c r="CS371" s="123"/>
      <c r="CT371" s="133">
        <f>(CS371/12*2*$E371*$G371*$H371*$P371*$CT$11)+(CS371/12*10*$F371*$G371*$H371*$P371*$CT$11)</f>
        <v>0</v>
      </c>
      <c r="CU371" s="127"/>
      <c r="CV371" s="123">
        <f>(CU371*$E371*$G371*$H371*$M371*CV$11)/12*6+(CU371*$E371*$G371*$H371*1*CV$11)/12*6</f>
        <v>0</v>
      </c>
      <c r="CW371" s="126">
        <f t="shared" si="519"/>
        <v>212</v>
      </c>
      <c r="CX371" s="126">
        <f t="shared" si="519"/>
        <v>13502161.241529999</v>
      </c>
    </row>
    <row r="372" spans="1:102" ht="30" customHeight="1" x14ac:dyDescent="0.25">
      <c r="A372" s="91"/>
      <c r="B372" s="116">
        <v>300</v>
      </c>
      <c r="C372" s="117" t="s">
        <v>862</v>
      </c>
      <c r="D372" s="161" t="s">
        <v>863</v>
      </c>
      <c r="E372" s="95">
        <v>28004</v>
      </c>
      <c r="F372" s="96">
        <v>29405</v>
      </c>
      <c r="G372" s="119">
        <v>2.31</v>
      </c>
      <c r="H372" s="110">
        <v>0.9</v>
      </c>
      <c r="I372" s="110">
        <v>0.85</v>
      </c>
      <c r="J372" s="108"/>
      <c r="K372" s="108"/>
      <c r="L372" s="63"/>
      <c r="M372" s="120">
        <v>1.4</v>
      </c>
      <c r="N372" s="120">
        <v>1.68</v>
      </c>
      <c r="O372" s="120">
        <v>2.23</v>
      </c>
      <c r="P372" s="121">
        <v>2.57</v>
      </c>
      <c r="Q372" s="122">
        <v>7</v>
      </c>
      <c r="R372" s="123">
        <f>(Q372/12*2*$E372*$G372*$H372*$M372)+(Q372/12*10*$F372*$G372*$I372*$M372)</f>
        <v>566609.70905000006</v>
      </c>
      <c r="S372" s="124"/>
      <c r="T372" s="125">
        <f>(S372/12*2*$E372*$G372*$H372*$M372)+(S372/12*10*$F372*$G372*$I372*$M372)</f>
        <v>0</v>
      </c>
      <c r="U372" s="123"/>
      <c r="V372" s="123">
        <f>(U372/12*2*$E372*$G372*$H372*$M372)+(U372/12*10*$F372*$G372*$I372*$M372)</f>
        <v>0</v>
      </c>
      <c r="W372" s="123"/>
      <c r="X372" s="123">
        <f>(W372/12*2*$E372*$G372*$H372*$M372)+(W372/12*10*$F372*$G372*$I372*$M372)</f>
        <v>0</v>
      </c>
      <c r="Y372" s="123">
        <f>6-4</f>
        <v>2</v>
      </c>
      <c r="Z372" s="123">
        <f>(Y372/12*2*$E372*$G372*$H372*$M372)+(Y372/12*10*$F372*$G372*$I372*$M372)</f>
        <v>161888.48829999997</v>
      </c>
      <c r="AA372" s="123"/>
      <c r="AB372" s="123">
        <f>(AA372*$E372*$G372*$H372*$M372)/12*2+(AA372*$F372*$G372*$I372*$M372)/12*10</f>
        <v>0</v>
      </c>
      <c r="AC372" s="123"/>
      <c r="AD372" s="123"/>
      <c r="AE372" s="123"/>
      <c r="AF372" s="123">
        <f>(AE372/12*2*$E372*$G372*$H372*$M372)+(AE372/12*10*$F372*$G372*$I372*$M372)</f>
        <v>0</v>
      </c>
      <c r="AG372" s="135">
        <v>0</v>
      </c>
      <c r="AH372" s="135">
        <f>(AG372/12*2*$E372*$G372*$H372*$M372)+(AG372/12*10*$F372*$G372*$I372*$M372)</f>
        <v>0</v>
      </c>
      <c r="AI372" s="123"/>
      <c r="AJ372" s="123">
        <f>(AI372/12*2*$E372*$G372*$H372*$M372)+(AI372/12*10*$F372*$G372*$I372*$M372)</f>
        <v>0</v>
      </c>
      <c r="AK372" s="123"/>
      <c r="AL372" s="126">
        <f>(AK372/12*2*$E372*$G372*$H372*$N372)+(AK372/12*10*$F372*$G372*$I372*$N372)</f>
        <v>0</v>
      </c>
      <c r="AM372" s="132">
        <v>0</v>
      </c>
      <c r="AN372" s="123">
        <f>(AM372/12*2*$E372*$G372*$H372*$N372)+(AM372/12*10*$F372*$G372*$I372*$N372)</f>
        <v>0</v>
      </c>
      <c r="AO372" s="130"/>
      <c r="AP372" s="123">
        <f>(AO372/12*2*$E372*$G372*$H372*$N372)+(AO372/12*10*$F372*$G372*$I372*$N372)</f>
        <v>0</v>
      </c>
      <c r="AQ372" s="123">
        <v>0</v>
      </c>
      <c r="AR372" s="123">
        <v>0</v>
      </c>
      <c r="AS372" s="123"/>
      <c r="AT372" s="123">
        <f>(AS372*$E372*$G372*$H372*$M372)/12*3+(AS372*$F372*$G372*$I372*$M372)/12*9</f>
        <v>0</v>
      </c>
      <c r="AU372" s="123"/>
      <c r="AV372" s="123"/>
      <c r="AW372" s="123"/>
      <c r="AX372" s="123">
        <f>(AW372/12*2*$E372*$G372*$H372*$M372)+(AW372/12*10*$F372*$G372*$I372*$M372)</f>
        <v>0</v>
      </c>
      <c r="AY372" s="123">
        <v>20</v>
      </c>
      <c r="AZ372" s="123">
        <f>(AY372/12*2*$E372*$G372*$H372*$N372)+(AY372/12*10*$F372*$G372*$I372*$N372)</f>
        <v>1942661.8595999999</v>
      </c>
      <c r="BA372" s="123"/>
      <c r="BB372" s="123">
        <f>(BA372/12*2*$E372*$G372*$H372*$N372)+(BA372/12*10*$F372*$G372*$I372*$N372)</f>
        <v>0</v>
      </c>
      <c r="BC372" s="123"/>
      <c r="BD372" s="123">
        <f>(BC372/12*2*$E372*$G372*$H372*$N372)+(BC372/12*10*$F372*$G372*$I372*$N372)</f>
        <v>0</v>
      </c>
      <c r="BE372" s="123"/>
      <c r="BF372" s="123">
        <f>(BE372/12*10*$F372*$G372*$I372*$N372)</f>
        <v>0</v>
      </c>
      <c r="BG372" s="123"/>
      <c r="BH372" s="123">
        <f>(BG372/12*2*$E372*$G372*$H372*$N372)+(BG372/12*10*$F372*$G372*$I372*$N372)</f>
        <v>0</v>
      </c>
      <c r="BI372" s="123"/>
      <c r="BJ372" s="123">
        <f>(BI372/12*2*$E372*$G372*$H372*$N372)+(BI372/12*10*$F372*$G372*$I372*$N372)</f>
        <v>0</v>
      </c>
      <c r="BK372" s="123">
        <v>2</v>
      </c>
      <c r="BL372" s="123">
        <f>(BK372/12*2*$E372*$G372*$H372*$N372)+(BK372/12*10*$F372*$G372*$I372*$N372)</f>
        <v>194266.18595999997</v>
      </c>
      <c r="BM372" s="123"/>
      <c r="BN372" s="123"/>
      <c r="BO372" s="123"/>
      <c r="BP372" s="123">
        <f>(BO372/12*2*$E372*$G372*$H372*$M372)+(BO372/12*10*$F372*$G372*$I372*$M372)</f>
        <v>0</v>
      </c>
      <c r="BQ372" s="123"/>
      <c r="BR372" s="123">
        <f>(BQ372/12*2*$E372*$G372*$H372*$M372)+(BQ372/12*10*$F372*$G372*$I372*$M372)</f>
        <v>0</v>
      </c>
      <c r="BS372" s="123"/>
      <c r="BT372" s="123">
        <f>(BS372/12*2*$E372*$G372*$H372*$N372)+(BS372/12*10*$F372*$G372*$I372*$N372)</f>
        <v>0</v>
      </c>
      <c r="BU372" s="123"/>
      <c r="BV372" s="123">
        <f>(BU372/12*2*$E372*$G372*$H372*$M372)+(BU372/12*10*$F372*$G372*$I372*$M372)</f>
        <v>0</v>
      </c>
      <c r="BW372" s="123"/>
      <c r="BX372" s="123">
        <f>(BW372/12*2*$E372*$G372*$H372*$M372)+(BW372/12*10*$F372*$G372*$I372*$M372)</f>
        <v>0</v>
      </c>
      <c r="BY372" s="123"/>
      <c r="BZ372" s="123">
        <f>(BY372/12*2*$E372*$G372*$H372*$M372)+(BY372/12*10*$F372*$G372*$I372*$M372)</f>
        <v>0</v>
      </c>
      <c r="CA372" s="123"/>
      <c r="CB372" s="123">
        <f>(CA372/12*2*$E372*$G372*$H372*$M372)+(CA372/12*10*$F372*$G372*$I372*$M372)</f>
        <v>0</v>
      </c>
      <c r="CC372" s="123"/>
      <c r="CD372" s="123">
        <f>(CC372/12*2*$E372*$G372*$H372*$M372)+(CC372/12*10*$F372*$G372*$I372*$M372)</f>
        <v>0</v>
      </c>
      <c r="CE372" s="123"/>
      <c r="CF372" s="123">
        <f>(CE372/12*10*$F372*$G372*$I372*$N372)</f>
        <v>0</v>
      </c>
      <c r="CG372" s="132"/>
      <c r="CH372" s="123">
        <f>(CG372/12*2*$E372*$G372*$H372*$N372)+(CG372/12*10*$F372*$G372*$I372*$N372)</f>
        <v>0</v>
      </c>
      <c r="CI372" s="123"/>
      <c r="CJ372" s="127">
        <f>(CI372*$E372*$G372*$H372*$N372)</f>
        <v>0</v>
      </c>
      <c r="CK372" s="123"/>
      <c r="CL372" s="123">
        <f>(CK372/12*2*$E372*$G372*$H372*$N372)+(CK372/12*10*$F372*$G372*$I372*$N372)</f>
        <v>0</v>
      </c>
      <c r="CM372" s="130"/>
      <c r="CN372" s="123">
        <f>(CM372/12*2*$E372*$G372*$H372*$N372)+(CM372/12*10*$F372*$G372*$I372*$N372)</f>
        <v>0</v>
      </c>
      <c r="CO372" s="123"/>
      <c r="CP372" s="123">
        <f>(CO372/12*2*$E372*$G372*$H372*$N372)+(CO372/12*10*$F372*$G372*$I372*$N372)</f>
        <v>0</v>
      </c>
      <c r="CQ372" s="123"/>
      <c r="CR372" s="123">
        <f>(CQ372/12*2*$E372*$G372*$H372*$O372)+(CQ372/12*10*$F372*$G372*$I372*$O372)</f>
        <v>0</v>
      </c>
      <c r="CS372" s="123"/>
      <c r="CT372" s="127">
        <f>(CS372/12*2*$E372*$G372*$H372*$P372)+(CS372/12*10*$F372*$G372*$I372*$P372)</f>
        <v>0</v>
      </c>
      <c r="CU372" s="127"/>
      <c r="CV372" s="127"/>
      <c r="CW372" s="126">
        <f t="shared" si="519"/>
        <v>31</v>
      </c>
      <c r="CX372" s="126">
        <f t="shared" si="519"/>
        <v>2865426.24291</v>
      </c>
    </row>
    <row r="373" spans="1:102" ht="30" customHeight="1" x14ac:dyDescent="0.25">
      <c r="A373" s="91"/>
      <c r="B373" s="116">
        <v>301</v>
      </c>
      <c r="C373" s="117" t="s">
        <v>864</v>
      </c>
      <c r="D373" s="161" t="s">
        <v>865</v>
      </c>
      <c r="E373" s="95">
        <v>28004</v>
      </c>
      <c r="F373" s="96">
        <v>29405</v>
      </c>
      <c r="G373" s="119">
        <v>3.12</v>
      </c>
      <c r="H373" s="110">
        <v>0.95</v>
      </c>
      <c r="I373" s="110">
        <v>0.9</v>
      </c>
      <c r="J373" s="203"/>
      <c r="K373" s="203"/>
      <c r="L373" s="63"/>
      <c r="M373" s="120">
        <v>1.4</v>
      </c>
      <c r="N373" s="120">
        <v>1.68</v>
      </c>
      <c r="O373" s="120">
        <v>2.23</v>
      </c>
      <c r="P373" s="121">
        <v>2.57</v>
      </c>
      <c r="Q373" s="122">
        <v>105</v>
      </c>
      <c r="R373" s="123">
        <f>(Q373/12*2*$E373*$G373*$H373*$M373)+(Q373/12*10*$F373*$G373*$I373*$M373)</f>
        <v>12148326.371999998</v>
      </c>
      <c r="S373" s="124"/>
      <c r="T373" s="125">
        <f>(S373/12*2*$E373*$G373*$H373*$M373)+(S373/12*10*$F373*$G373*$I373*$M373)</f>
        <v>0</v>
      </c>
      <c r="U373" s="123"/>
      <c r="V373" s="123">
        <f>(U373/12*2*$E373*$G373*$H373*$M373)+(U373/12*10*$F373*$G373*$I373*$M373)</f>
        <v>0</v>
      </c>
      <c r="W373" s="123"/>
      <c r="X373" s="123">
        <f>(W373/12*2*$E373*$G373*$H373*$M373)+(W373/12*10*$F373*$G373*$I373*$M373)</f>
        <v>0</v>
      </c>
      <c r="Y373" s="123">
        <v>0</v>
      </c>
      <c r="Z373" s="123">
        <f>(Y373/12*2*$E373*$G373*$H373*$M373)+(Y373/12*10*$F373*$G373*$I373*$M373)</f>
        <v>0</v>
      </c>
      <c r="AA373" s="123"/>
      <c r="AB373" s="123">
        <f>(AA373*$E373*$G373*$H373*$M373)/12*2+(AA373*$F373*$G373*$I373*$M373)/12*10</f>
        <v>0</v>
      </c>
      <c r="AC373" s="123"/>
      <c r="AD373" s="123"/>
      <c r="AE373" s="123">
        <v>25</v>
      </c>
      <c r="AF373" s="127">
        <f>(AE373/12*2*$E373*$G373*$H373*$M373)+(AE373/12*10*$F373*$G373*$I373*$M373)</f>
        <v>2892458.66</v>
      </c>
      <c r="AG373" s="123">
        <f>160-10</f>
        <v>150</v>
      </c>
      <c r="AH373" s="123">
        <f>(AG373/12*2*$E373*$G373*$H373*$M373)+(AG373/12*10*$F373*$G373*$I373*$M373)</f>
        <v>17354751.960000001</v>
      </c>
      <c r="AI373" s="130"/>
      <c r="AJ373" s="123">
        <f>(AI373/12*2*$E373*$G373*$H373*$M373)+(AI373/12*10*$F373*$G373*$I373*$M373)</f>
        <v>0</v>
      </c>
      <c r="AK373" s="123"/>
      <c r="AL373" s="126">
        <f>(AK373/12*2*$E373*$G373*$H373*$N373)+(AK373/12*10*$F373*$G373*$I373*$N373)</f>
        <v>0</v>
      </c>
      <c r="AM373" s="132">
        <v>3</v>
      </c>
      <c r="AN373" s="123">
        <f>(AM373/12*2*$E373*$G373*$H373*$N373)+(AM373/12*10*$F373*$G373*$I373*$N373)</f>
        <v>416514.04703999998</v>
      </c>
      <c r="AO373" s="130"/>
      <c r="AP373" s="123">
        <f>(AO373/12*2*$E373*$G373*$H373*$N373)+(AO373/12*10*$F373*$G373*$I373*$N373)</f>
        <v>0</v>
      </c>
      <c r="AQ373" s="123">
        <v>0</v>
      </c>
      <c r="AR373" s="123">
        <v>0</v>
      </c>
      <c r="AS373" s="123"/>
      <c r="AT373" s="123">
        <f>(AS373*$E373*$G373*$H373*$M373)/12*3+(AS373*$F373*$G373*$I373*$M373)/12*9</f>
        <v>0</v>
      </c>
      <c r="AU373" s="123"/>
      <c r="AV373" s="123"/>
      <c r="AW373" s="123"/>
      <c r="AX373" s="123">
        <f>(AW373/12*2*$E373*$G373*$H373*$M373)+(AW373/12*10*$F373*$G373*$I373*$M373)</f>
        <v>0</v>
      </c>
      <c r="AY373" s="123">
        <v>70</v>
      </c>
      <c r="AZ373" s="123">
        <f>(AY373/12*2*$E373*$G373*$H373*$N373)+(AY373/12*10*$F373*$G373*$I373*$N373)</f>
        <v>9718661.0976</v>
      </c>
      <c r="BA373" s="123"/>
      <c r="BB373" s="123">
        <f>(BA373/12*2*$E373*$G373*$H373*$N373)+(BA373/12*10*$F373*$G373*$I373*$N373)</f>
        <v>0</v>
      </c>
      <c r="BC373" s="123"/>
      <c r="BD373" s="123">
        <f>(BC373/12*2*$E373*$G373*$H373*$N373)+(BC373/12*10*$F373*$G373*$I373*$N373)</f>
        <v>0</v>
      </c>
      <c r="BE373" s="123"/>
      <c r="BF373" s="123">
        <f>(BE373/12*10*$F373*$G373*$I373*$N373)</f>
        <v>0</v>
      </c>
      <c r="BG373" s="123"/>
      <c r="BH373" s="123">
        <f>(BG373/12*2*$E373*$G373*$H373*$N373)+(BG373/12*10*$F373*$G373*$I373*$N373)</f>
        <v>0</v>
      </c>
      <c r="BI373" s="123"/>
      <c r="BJ373" s="123">
        <f>(BI373/12*2*$E373*$G373*$H373*$N373)+(BI373/12*10*$F373*$G373*$I373*$N373)</f>
        <v>0</v>
      </c>
      <c r="BK373" s="123"/>
      <c r="BL373" s="123">
        <f>(BK373/12*2*$E373*$G373*$H373*$N373)+(BK373/12*10*$F373*$G373*$I373*$N373)</f>
        <v>0</v>
      </c>
      <c r="BM373" s="123"/>
      <c r="BN373" s="123"/>
      <c r="BO373" s="123"/>
      <c r="BP373" s="123">
        <f>(BO373/12*2*$E373*$G373*$H373*$M373)+(BO373/12*10*$F373*$G373*$I373*$M373)</f>
        <v>0</v>
      </c>
      <c r="BQ373" s="123"/>
      <c r="BR373" s="123">
        <f>(BQ373/12*2*$E373*$G373*$H373*$M373)+(BQ373/12*10*$F373*$G373*$I373*$M373)</f>
        <v>0</v>
      </c>
      <c r="BS373" s="123"/>
      <c r="BT373" s="123">
        <f>(BS373/12*2*$E373*$G373*$H373*$N373)+(BS373/12*10*$F373*$G373*$I373*$N373)</f>
        <v>0</v>
      </c>
      <c r="BU373" s="123"/>
      <c r="BV373" s="123">
        <f>(BU373/12*2*$E373*$G373*$H373*$M373)+(BU373/12*10*$F373*$G373*$I373*$M373)</f>
        <v>0</v>
      </c>
      <c r="BW373" s="123"/>
      <c r="BX373" s="123">
        <f>(BW373/12*2*$E373*$G373*$H373*$M373)+(BW373/12*10*$F373*$G373*$I373*$M373)</f>
        <v>0</v>
      </c>
      <c r="BY373" s="123"/>
      <c r="BZ373" s="123">
        <f>(BY373/12*2*$E373*$G373*$H373*$M373)+(BY373/12*10*$F373*$G373*$I373*$M373)</f>
        <v>0</v>
      </c>
      <c r="CA373" s="123"/>
      <c r="CB373" s="123">
        <f>(CA373/12*2*$E373*$G373*$H373*$M373)+(CA373/12*10*$F373*$G373*$I373*$M373)</f>
        <v>0</v>
      </c>
      <c r="CC373" s="123"/>
      <c r="CD373" s="123">
        <f>(CC373/12*2*$E373*$G373*$H373*$M373)+(CC373/12*10*$F373*$G373*$I373*$M373)</f>
        <v>0</v>
      </c>
      <c r="CE373" s="123"/>
      <c r="CF373" s="123">
        <f>(CE373/12*10*$F373*$G373*$I373*$N373)</f>
        <v>0</v>
      </c>
      <c r="CG373" s="132"/>
      <c r="CH373" s="123">
        <f>(CG373/12*2*$E373*$G373*$H373*$N373)+(CG373/12*10*$F373*$G373*$I373*$N373)</f>
        <v>0</v>
      </c>
      <c r="CI373" s="123"/>
      <c r="CJ373" s="127">
        <f>(CI373*$E373*$G373*$H373*$N373)</f>
        <v>0</v>
      </c>
      <c r="CK373" s="123"/>
      <c r="CL373" s="123">
        <f>(CK373/12*2*$E373*$G373*$H373*$N373)+(CK373/12*10*$F373*$G373*$I373*$N373)</f>
        <v>0</v>
      </c>
      <c r="CM373" s="130"/>
      <c r="CN373" s="123">
        <f>(CM373/12*2*$E373*$G373*$H373*$N373)+(CM373/12*10*$F373*$G373*$I373*$N373)</f>
        <v>0</v>
      </c>
      <c r="CO373" s="123"/>
      <c r="CP373" s="123">
        <f>(CO373/12*2*$E373*$G373*$H373*$N373)+(CO373/12*10*$F373*$G373*$I373*$N373)</f>
        <v>0</v>
      </c>
      <c r="CQ373" s="123"/>
      <c r="CR373" s="123">
        <f>(CQ373/12*2*$E373*$G373*$H373*$O373)+(CQ373/12*10*$F373*$G373*$I373*$O373)</f>
        <v>0</v>
      </c>
      <c r="CS373" s="123"/>
      <c r="CT373" s="127">
        <f>(CS373/12*2*$E373*$G373*$H373*$P373)+(CS373/12*10*$F373*$G373*$I373*$P373)</f>
        <v>0</v>
      </c>
      <c r="CU373" s="127"/>
      <c r="CV373" s="127"/>
      <c r="CW373" s="126">
        <f t="shared" si="519"/>
        <v>353</v>
      </c>
      <c r="CX373" s="126">
        <f t="shared" si="519"/>
        <v>42530712.136639997</v>
      </c>
    </row>
    <row r="374" spans="1:102" ht="45" x14ac:dyDescent="0.25">
      <c r="A374" s="91"/>
      <c r="B374" s="116">
        <v>302</v>
      </c>
      <c r="C374" s="117" t="s">
        <v>866</v>
      </c>
      <c r="D374" s="161" t="s">
        <v>867</v>
      </c>
      <c r="E374" s="95">
        <v>28004</v>
      </c>
      <c r="F374" s="96">
        <v>29405</v>
      </c>
      <c r="G374" s="119">
        <v>1.08</v>
      </c>
      <c r="H374" s="110">
        <v>0.9</v>
      </c>
      <c r="I374" s="110">
        <v>0.85</v>
      </c>
      <c r="J374" s="108"/>
      <c r="K374" s="108"/>
      <c r="L374" s="63"/>
      <c r="M374" s="120">
        <v>1.4</v>
      </c>
      <c r="N374" s="120">
        <v>1.68</v>
      </c>
      <c r="O374" s="120">
        <v>2.23</v>
      </c>
      <c r="P374" s="121">
        <v>2.57</v>
      </c>
      <c r="Q374" s="122">
        <v>307</v>
      </c>
      <c r="R374" s="123">
        <f>(Q374/12*2*$E374*$G374*$H374*$M374*$R$11)+(Q374/12*10*$F374*$G374*$I374*$M374*$R$11)</f>
        <v>12779939.80494</v>
      </c>
      <c r="S374" s="124">
        <v>2</v>
      </c>
      <c r="T374" s="125">
        <f>(S374/12*2*$E374*$G374*$H374*$M374*$R$11)+(S374/12*10*$F374*$G374*$I374*$M374*$R$11)</f>
        <v>83256.936840000009</v>
      </c>
      <c r="U374" s="123"/>
      <c r="V374" s="123">
        <f>(U374/12*2*$E374*$G374*$H374*$M374*$V$11)+(U374/12*10*$F374*$G374*$I374*$M374*$V$12)</f>
        <v>0</v>
      </c>
      <c r="W374" s="123"/>
      <c r="X374" s="126">
        <f>(W374/12*2*$E374*$G374*$H374*$M374*$X$11)+(W374/12*10*$F374*$G374*$I374*$M374*$X$12)</f>
        <v>0</v>
      </c>
      <c r="Y374" s="123">
        <f>35+7</f>
        <v>42</v>
      </c>
      <c r="Z374" s="123">
        <f>(Y374/12*2*$E374*$G374*$H374*$M374*$Z$11)+(Y374/12*10*$F374*$G374*$I374*$M374*$Z$12)</f>
        <v>2132642.15766</v>
      </c>
      <c r="AA374" s="123"/>
      <c r="AB374" s="123">
        <f>(AA374/12*2*$E374*$G374*$H374*$M374*$AB$11)+(AA374/12*10*$F374*$G374*$I374*$M374*$AB$11)</f>
        <v>0</v>
      </c>
      <c r="AC374" s="123"/>
      <c r="AD374" s="123"/>
      <c r="AE374" s="123">
        <v>15</v>
      </c>
      <c r="AF374" s="127">
        <f>(AE374/12*2*$E374*$G374*$H374*$M374*$AF$11)+(AE374/12*10*$F374*$G374*$I374*$M374*$AF$11)</f>
        <v>624427.02630000003</v>
      </c>
      <c r="AG374" s="123">
        <v>280</v>
      </c>
      <c r="AH374" s="126">
        <f>(AG374/12*2*$E374*$G374*$H374*$M374*$AH$11)+(AG374/12*10*$F374*$G374*$I374*$M374*$AH$11)</f>
        <v>11655971.157599999</v>
      </c>
      <c r="AI374" s="130"/>
      <c r="AJ374" s="123">
        <f t="shared" ref="AJ374:AJ378" si="520">(AI374/12*2*$E374*$G374*$H374*$M374*$AJ$11)+(AI374/12*5*$F374*$G374*$I374*$M374*$AJ$12)+(AI374/12*5*$F374*$G374*$I374*$M374*$AJ$13)</f>
        <v>0</v>
      </c>
      <c r="AK374" s="123"/>
      <c r="AL374" s="123">
        <f t="shared" ref="AL374:AL378" si="521">(AK374/12*2*$E374*$G374*$H374*$N374*$AL$11)+(AK374/12*5*$F374*$G374*$I374*$N374*$AL$12)+(AK374/12*5*$F374*$G374*$I374*$N374*$AL$13)</f>
        <v>0</v>
      </c>
      <c r="AM374" s="132">
        <f>1+2</f>
        <v>3</v>
      </c>
      <c r="AN374" s="123">
        <f>(AM374/12*2*$E374*$G374*$H374*$N374*$AN$11)+(AM374/12*10*$F374*$G374*$I374*$N374*$AN$12)</f>
        <v>182797.89922799997</v>
      </c>
      <c r="AO374" s="130"/>
      <c r="AP374" s="127">
        <f>(AO374/12*2*$E374*$G374*$H374*$N374*$AP$11)+(AO374/12*10*$F374*$G374*$I374*$N374*$AP$11)</f>
        <v>0</v>
      </c>
      <c r="AQ374" s="127">
        <v>3</v>
      </c>
      <c r="AR374" s="127">
        <v>149653.56</v>
      </c>
      <c r="AS374" s="123"/>
      <c r="AT374" s="123"/>
      <c r="AU374" s="123"/>
      <c r="AV374" s="126"/>
      <c r="AW374" s="123">
        <v>2</v>
      </c>
      <c r="AX374" s="123">
        <f>(AW374/12*2*$E374*$G374*$H374*$M374*$AX$11)+(AW374/12*10*$F374*$G374*$I374*$M374*$AX$12)</f>
        <v>87046.618679999985</v>
      </c>
      <c r="AY374" s="123">
        <v>250</v>
      </c>
      <c r="AZ374" s="123">
        <f>(AY374/12*2*$E374*$G374*$H374*$N374*$AZ$11)+(AY374/12*10*$F374*$G374*$I374*$N374*$AZ$11)</f>
        <v>12488540.526000001</v>
      </c>
      <c r="BA374" s="123"/>
      <c r="BB374" s="123">
        <f>(BA374/12*2*$E374*$G374*$H374*$N374*$BB$11)+(BA374/12*10*$F374*$G374*$I374*$N374*$BB$12)</f>
        <v>0</v>
      </c>
      <c r="BC374" s="123"/>
      <c r="BD374" s="126"/>
      <c r="BE374" s="123">
        <v>1</v>
      </c>
      <c r="BF374" s="123">
        <f>(BE374/12*10*$F374*$G374*$I374*$N374*$BF$12)</f>
        <v>37791.305999999997</v>
      </c>
      <c r="BG374" s="123"/>
      <c r="BH374" s="123">
        <f>(BG374/12*2*$E374*$G374*$H374*$N374*$BH$11)+(BG374/12*10*$F374*$G374*$I374*$N374*$BH$11)</f>
        <v>0</v>
      </c>
      <c r="BI374" s="123">
        <v>7</v>
      </c>
      <c r="BJ374" s="126">
        <f>(BI374/12*2*$E374*$G374*$H374*$N374*$BJ$11)+(BI374/12*10*$F374*$G374*$I374*$N374*$BJ$11)</f>
        <v>381468.14697600005</v>
      </c>
      <c r="BK374" s="123">
        <v>15</v>
      </c>
      <c r="BL374" s="127">
        <f>(BK374/12*2*$E374*$G374*$H374*$N374*$BL$11)+(BK374/12*10*$F374*$G374*$I374*$N374*$BL$11)</f>
        <v>817431.7435199999</v>
      </c>
      <c r="BM374" s="123"/>
      <c r="BN374" s="123">
        <f>(BM374/12*2*$E374*$G374*$H374*$M374*$BN$11)+(BM374/12*10*$F374*$G374*$I374*$M374*$BN$11)</f>
        <v>0</v>
      </c>
      <c r="BO374" s="123"/>
      <c r="BP374" s="123">
        <f>(BO374/12*2*$E374*$G374*$H374*$M374*$BP$11)+(BO374/12*10*$F374*$G374*$I374*$M374*$BP$12)</f>
        <v>0</v>
      </c>
      <c r="BQ374" s="123"/>
      <c r="BR374" s="123">
        <f>(BQ374/12*2*$E374*$G374*$H374*$M374*$BR$11)+(BQ374/12*10*$F374*$G374*$I374*$M374*$BR$11)</f>
        <v>0</v>
      </c>
      <c r="BS374" s="123">
        <v>1</v>
      </c>
      <c r="BT374" s="123">
        <f>(BS374/12*2*$E374*$G374*$H374*$N374*$BT$11)+(BS374/12*10*$F374*$G374*$I374*$N374*$BT$11)</f>
        <v>45412.874639999995</v>
      </c>
      <c r="BU374" s="123"/>
      <c r="BV374" s="126">
        <f>(BU374/12*2*$E374*$G374*$H374*$M374*$BV$11)+(BU374/12*10*$F374*$G374*$I374*$M374*$BV$11)</f>
        <v>0</v>
      </c>
      <c r="BW374" s="123"/>
      <c r="BX374" s="123">
        <f>(BW374/12*2*$E374*$G374*$H374*$M374*$BX$11)+(BW374/12*10*$F374*$G374*$I374*$M374*$BX$11)</f>
        <v>0</v>
      </c>
      <c r="BY374" s="123"/>
      <c r="BZ374" s="123">
        <f>(BY374/12*2*$E374*$G374*$H374*$M374*$BZ$11)+(BY374/12*10*$F374*$G374*$I374*$M374*$BZ$11)</f>
        <v>0</v>
      </c>
      <c r="CA374" s="123">
        <v>2</v>
      </c>
      <c r="CB374" s="123">
        <f>(CA374/12*2*$E374*$G374*$H374*$M374*$CB$11)+(CA374/12*10*$F374*$G374*$I374*$M374*$CB$11)</f>
        <v>90825.749279999989</v>
      </c>
      <c r="CC374" s="123"/>
      <c r="CD374" s="123">
        <f>(CC374/12*2*$E374*$G374*$H374*$M374*$CD$11)+(CC374/12*10*$F374*$G374*$I374*$M374*$CD$11)</f>
        <v>0</v>
      </c>
      <c r="CE374" s="123">
        <v>8</v>
      </c>
      <c r="CF374" s="123">
        <f>(CE374/12*10*$F374*$G374*$I374*$N374*$CF$11)</f>
        <v>302330.44799999997</v>
      </c>
      <c r="CG374" s="132"/>
      <c r="CH374" s="123">
        <f>(CG374/12*2*$E374*$G374*$H374*$N374*$CH$11)+(CG374/12*10*$F374*$G374*$I374*$N374*$CH$11)</f>
        <v>0</v>
      </c>
      <c r="CI374" s="123"/>
      <c r="CJ374" s="127"/>
      <c r="CK374" s="123"/>
      <c r="CL374" s="123">
        <f>(CK374/12*2*$E374*$G374*$H374*$N374*$CL$11)+(CK374/12*10*$F374*$G374*$I374*$N374*$CL$12)</f>
        <v>0</v>
      </c>
      <c r="CM374" s="130"/>
      <c r="CN374" s="123">
        <f>(CM374/12*2*$E374*$G374*$H374*$N374*$CN$11)+(CM374/12*10*$F374*$G374*$I374*$N374*$CN$11)</f>
        <v>0</v>
      </c>
      <c r="CO374" s="123"/>
      <c r="CP374" s="123">
        <f>(CO374/12*2*$E374*$G374*$H374*$N374*$CP$11)+(CO374/12*10*$F374*$G374*$I374*$N374*$CP$11)</f>
        <v>0</v>
      </c>
      <c r="CQ374" s="123"/>
      <c r="CR374" s="123">
        <f>(CQ374/12*2*$E374*$G374*$H374*$O374*$CR$11)+(CQ374/12*10*$F374*$G374*$I374*$O374*$CR$11)</f>
        <v>0</v>
      </c>
      <c r="CS374" s="123"/>
      <c r="CT374" s="133">
        <f>(CS374/12*2*$E374*$G374*$H374*$P374*$CT$11)+(CS374/12*10*$F374*$G374*$I374*$P374*$CT$11)</f>
        <v>0</v>
      </c>
      <c r="CU374" s="127"/>
      <c r="CV374" s="123"/>
      <c r="CW374" s="126">
        <f t="shared" si="519"/>
        <v>938</v>
      </c>
      <c r="CX374" s="126">
        <f t="shared" si="519"/>
        <v>41859535.955664001</v>
      </c>
    </row>
    <row r="375" spans="1:102" ht="45" x14ac:dyDescent="0.25">
      <c r="A375" s="91"/>
      <c r="B375" s="116">
        <v>303</v>
      </c>
      <c r="C375" s="117" t="s">
        <v>868</v>
      </c>
      <c r="D375" s="161" t="s">
        <v>869</v>
      </c>
      <c r="E375" s="95">
        <v>28004</v>
      </c>
      <c r="F375" s="96">
        <v>29405</v>
      </c>
      <c r="G375" s="119">
        <v>1.1200000000000001</v>
      </c>
      <c r="H375" s="110">
        <v>0.9</v>
      </c>
      <c r="I375" s="110">
        <v>0.85</v>
      </c>
      <c r="J375" s="108"/>
      <c r="K375" s="108"/>
      <c r="L375" s="63"/>
      <c r="M375" s="120">
        <v>1.4</v>
      </c>
      <c r="N375" s="120">
        <v>1.68</v>
      </c>
      <c r="O375" s="120">
        <v>2.23</v>
      </c>
      <c r="P375" s="121">
        <v>2.57</v>
      </c>
      <c r="Q375" s="122">
        <v>375</v>
      </c>
      <c r="R375" s="123">
        <f>(Q375/12*2*$E375*$G375*$H375*$M375*$R$11)+(Q375/12*10*$F375*$G375*$I375*$M375*$R$11)</f>
        <v>16188848.830000004</v>
      </c>
      <c r="S375" s="124">
        <v>1</v>
      </c>
      <c r="T375" s="125">
        <f>(S375/12*2*$E375*$G375*$H375*$M375*$R$11)+(S375/12*10*$F375*$G375*$I375*$M375*$R$11)</f>
        <v>43170.263546666669</v>
      </c>
      <c r="U375" s="123"/>
      <c r="V375" s="123">
        <f>(U375/12*2*$E375*$G375*$H375*$M375*$V$11)+(U375/12*10*$F375*$G375*$I375*$M375*$V$12)</f>
        <v>0</v>
      </c>
      <c r="W375" s="123"/>
      <c r="X375" s="126">
        <f>(W375/12*2*$E375*$G375*$H375*$M375*$X$11)+(W375/12*10*$F375*$G375*$I375*$M375*$X$12)</f>
        <v>0</v>
      </c>
      <c r="Y375" s="123"/>
      <c r="Z375" s="123">
        <f>(Y375/12*2*$E375*$G375*$H375*$M375*$Z$11)+(Y375/12*10*$F375*$G375*$I375*$M375*$Z$12)</f>
        <v>0</v>
      </c>
      <c r="AA375" s="123"/>
      <c r="AB375" s="123">
        <f>(AA375/12*2*$E375*$G375*$H375*$M375*$AB$11)+(AA375/12*10*$F375*$G375*$I375*$M375*$AB$11)</f>
        <v>0</v>
      </c>
      <c r="AC375" s="123"/>
      <c r="AD375" s="123"/>
      <c r="AE375" s="123">
        <v>10</v>
      </c>
      <c r="AF375" s="127">
        <f>(AE375/12*2*$E375*$G375*$H375*$M375*$AF$11)+(AE375/12*10*$F375*$G375*$I375*$M375*$AF$11)</f>
        <v>431702.63546666672</v>
      </c>
      <c r="AG375" s="123">
        <v>280</v>
      </c>
      <c r="AH375" s="126">
        <f>(AG375/12*2*$E375*$G375*$H375*$M375*$AH$11)+(AG375/12*10*$F375*$G375*$I375*$M375*$AH$11)</f>
        <v>12087673.793066669</v>
      </c>
      <c r="AI375" s="130"/>
      <c r="AJ375" s="123">
        <f t="shared" si="520"/>
        <v>0</v>
      </c>
      <c r="AK375" s="123"/>
      <c r="AL375" s="123">
        <f t="shared" si="521"/>
        <v>0</v>
      </c>
      <c r="AM375" s="132"/>
      <c r="AN375" s="123">
        <f>(AM375/12*2*$E375*$G375*$H375*$N375*$AN$11)+(AM375/12*10*$F375*$G375*$I375*$N375*$AN$12)</f>
        <v>0</v>
      </c>
      <c r="AO375" s="130">
        <v>0</v>
      </c>
      <c r="AP375" s="127">
        <f>(AO375/12*2*$E375*$G375*$H375*$N375*$AP$11)+(AO375/12*10*$F375*$G375*$I375*$N375*$AP$11)</f>
        <v>0</v>
      </c>
      <c r="AQ375" s="127">
        <v>0</v>
      </c>
      <c r="AR375" s="127">
        <v>0</v>
      </c>
      <c r="AS375" s="123"/>
      <c r="AT375" s="123"/>
      <c r="AU375" s="123"/>
      <c r="AV375" s="126"/>
      <c r="AW375" s="123">
        <v>5</v>
      </c>
      <c r="AX375" s="123">
        <f>(AW375/12*2*$E375*$G375*$H375*$M375*$AX$11)+(AW375/12*10*$F375*$G375*$I375*$M375*$AX$12)</f>
        <v>225676.41879999998</v>
      </c>
      <c r="AY375" s="123">
        <v>150</v>
      </c>
      <c r="AZ375" s="123">
        <f>(AY375/12*2*$E375*$G375*$H375*$N375*$AZ$11)+(AY375/12*10*$F375*$G375*$I375*$N375*$AZ$11)</f>
        <v>7770647.4384000022</v>
      </c>
      <c r="BA375" s="123"/>
      <c r="BB375" s="123">
        <f>(BA375/12*2*$E375*$G375*$H375*$N375*$BB$11)+(BA375/12*10*$F375*$G375*$I375*$N375*$BB$12)</f>
        <v>0</v>
      </c>
      <c r="BC375" s="123"/>
      <c r="BD375" s="126"/>
      <c r="BE375" s="123">
        <v>2</v>
      </c>
      <c r="BF375" s="123">
        <f>(BE375/12*10*$F375*$G375*$I375*$N375*$BF$12)</f>
        <v>78381.967999999993</v>
      </c>
      <c r="BG375" s="123"/>
      <c r="BH375" s="123">
        <f>(BG375/12*2*$E375*$G375*$H375*$N375*$BH$11)+(BG375/12*10*$F375*$G375*$I375*$N375*$BH$11)</f>
        <v>0</v>
      </c>
      <c r="BI375" s="123"/>
      <c r="BJ375" s="126">
        <f>(BI375/12*2*$E375*$G375*$H375*$N375*$BJ$11)+(BI375/12*10*$F375*$G375*$I375*$N375*$BJ$11)</f>
        <v>0</v>
      </c>
      <c r="BK375" s="123">
        <v>4</v>
      </c>
      <c r="BL375" s="127">
        <f>(BK375/12*2*$E375*$G375*$H375*$N375*$BL$11)+(BK375/12*10*$F375*$G375*$I375*$N375*$BL$11)</f>
        <v>226055.19820799999</v>
      </c>
      <c r="BM375" s="123"/>
      <c r="BN375" s="123">
        <f>(BM375/12*2*$E375*$G375*$H375*$M375*$BN$11)+(BM375/12*10*$F375*$G375*$I375*$M375*$BN$11)</f>
        <v>0</v>
      </c>
      <c r="BO375" s="123"/>
      <c r="BP375" s="123">
        <f>(BO375/12*2*$E375*$G375*$H375*$M375*$BP$11)+(BO375/12*10*$F375*$G375*$I375*$M375*$BP$12)</f>
        <v>0</v>
      </c>
      <c r="BQ375" s="123"/>
      <c r="BR375" s="123">
        <f>(BQ375/12*2*$E375*$G375*$H375*$M375*$BR$11)+(BQ375/12*10*$F375*$G375*$I375*$M375*$BR$11)</f>
        <v>0</v>
      </c>
      <c r="BS375" s="123"/>
      <c r="BT375" s="123">
        <f>(BS375/12*2*$E375*$G375*$H375*$N375*$BT$11)+(BS375/12*10*$F375*$G375*$I375*$N375*$BT$11)</f>
        <v>0</v>
      </c>
      <c r="BU375" s="123"/>
      <c r="BV375" s="126">
        <f>(BU375/12*2*$E375*$G375*$H375*$M375*$BV$11)+(BU375/12*10*$F375*$G375*$I375*$M375*$BV$11)</f>
        <v>0</v>
      </c>
      <c r="BW375" s="123"/>
      <c r="BX375" s="123">
        <f>(BW375/12*2*$E375*$G375*$H375*$M375*$BX$11)+(BW375/12*10*$F375*$G375*$I375*$M375*$BX$11)</f>
        <v>0</v>
      </c>
      <c r="BY375" s="123"/>
      <c r="BZ375" s="123">
        <f>(BY375/12*2*$E375*$G375*$H375*$M375*$BZ$11)+(BY375/12*10*$F375*$G375*$I375*$M375*$BZ$11)</f>
        <v>0</v>
      </c>
      <c r="CA375" s="123">
        <v>1</v>
      </c>
      <c r="CB375" s="123">
        <f>(CA375/12*2*$E375*$G375*$H375*$M375*$CB$11)+(CA375/12*10*$F375*$G375*$I375*$M375*$CB$11)</f>
        <v>47094.83296</v>
      </c>
      <c r="CC375" s="123">
        <v>6</v>
      </c>
      <c r="CD375" s="123">
        <f>(CC375/12*2*$E375*$G375*$H375*$M375*$CD$11)+(CC375/12*10*$F375*$G375*$I375*$M375*$CD$11)</f>
        <v>235474.16480000003</v>
      </c>
      <c r="CE375" s="123"/>
      <c r="CF375" s="123">
        <f>(CE375/12*10*$F375*$G375*$I375*$N375*$CF$11)</f>
        <v>0</v>
      </c>
      <c r="CG375" s="132"/>
      <c r="CH375" s="123">
        <f>(CG375/12*2*$E375*$G375*$H375*$N375*$CH$11)+(CG375/12*10*$F375*$G375*$I375*$N375*$CH$11)</f>
        <v>0</v>
      </c>
      <c r="CI375" s="123"/>
      <c r="CJ375" s="127"/>
      <c r="CK375" s="123"/>
      <c r="CL375" s="123">
        <f>(CK375/12*2*$E375*$G375*$H375*$N375*$CL$11)+(CK375/12*10*$F375*$G375*$I375*$N375*$CL$12)</f>
        <v>0</v>
      </c>
      <c r="CM375" s="130"/>
      <c r="CN375" s="123">
        <f>(CM375/12*2*$E375*$G375*$H375*$N375*$CN$11)+(CM375/12*10*$F375*$G375*$I375*$N375*$CN$11)</f>
        <v>0</v>
      </c>
      <c r="CO375" s="123"/>
      <c r="CP375" s="123">
        <f>(CO375/12*2*$E375*$G375*$H375*$N375*$CP$11)+(CO375/12*10*$F375*$G375*$I375*$N375*$CP$11)</f>
        <v>0</v>
      </c>
      <c r="CQ375" s="123"/>
      <c r="CR375" s="123">
        <f>(CQ375/12*2*$E375*$G375*$H375*$O375*$CR$11)+(CQ375/12*10*$F375*$G375*$I375*$O375*$CR$11)</f>
        <v>0</v>
      </c>
      <c r="CS375" s="123"/>
      <c r="CT375" s="133">
        <f>(CS375/12*2*$E375*$G375*$H375*$P375*$CT$11)+(CS375/12*10*$F375*$G375*$I375*$P375*$CT$11)</f>
        <v>0</v>
      </c>
      <c r="CU375" s="127"/>
      <c r="CV375" s="123"/>
      <c r="CW375" s="126">
        <f t="shared" si="519"/>
        <v>834</v>
      </c>
      <c r="CX375" s="126">
        <f t="shared" si="519"/>
        <v>37334725.543248005</v>
      </c>
    </row>
    <row r="376" spans="1:102" ht="45" x14ac:dyDescent="0.25">
      <c r="A376" s="91"/>
      <c r="B376" s="116">
        <v>304</v>
      </c>
      <c r="C376" s="117" t="s">
        <v>870</v>
      </c>
      <c r="D376" s="161" t="s">
        <v>871</v>
      </c>
      <c r="E376" s="95">
        <v>28004</v>
      </c>
      <c r="F376" s="96">
        <v>29405</v>
      </c>
      <c r="G376" s="119">
        <v>1.62</v>
      </c>
      <c r="H376" s="110">
        <v>0.95</v>
      </c>
      <c r="I376" s="110">
        <v>0.9</v>
      </c>
      <c r="J376" s="203"/>
      <c r="K376" s="203"/>
      <c r="L376" s="63"/>
      <c r="M376" s="120">
        <v>1.4</v>
      </c>
      <c r="N376" s="120">
        <v>1.68</v>
      </c>
      <c r="O376" s="120">
        <v>2.23</v>
      </c>
      <c r="P376" s="121">
        <v>2.57</v>
      </c>
      <c r="Q376" s="122">
        <v>237</v>
      </c>
      <c r="R376" s="123">
        <f>(Q376/12*2*$E376*$G376*$H376*$M376*$R$11)+(Q376/12*10*$F376*$G376*$I376*$M376*$R$11)</f>
        <v>15661328.66298</v>
      </c>
      <c r="S376" s="124"/>
      <c r="T376" s="125">
        <f>(S376/12*2*$E376*$G376*$H376*$M376*$R$11)+(S376/12*10*$F376*$G376*$I376*$M376*$R$11)</f>
        <v>0</v>
      </c>
      <c r="U376" s="123"/>
      <c r="V376" s="123">
        <f>(U376/12*2*$E376*$G376*$H376*$M376*$V$11)+(U376/12*10*$F376*$G376*$I376*$M376*$V$12)</f>
        <v>0</v>
      </c>
      <c r="W376" s="123"/>
      <c r="X376" s="126">
        <f>(W376/12*2*$E376*$G376*$H376*$M376*$X$11)+(W376/12*10*$F376*$G376*$I376*$M376*$X$12)</f>
        <v>0</v>
      </c>
      <c r="Y376" s="123">
        <v>9</v>
      </c>
      <c r="Z376" s="123">
        <f>(Y376/12*2*$E376*$G376*$H376*$M376*$Z$11)+(Y376/12*10*$F376*$G376*$I376*$M376*$Z$12)</f>
        <v>725422.90148999996</v>
      </c>
      <c r="AA376" s="123"/>
      <c r="AB376" s="123">
        <f>(AA376/12*2*$E376*$G376*$H376*$M376*$AB$11)+(AA376/12*10*$F376*$G376*$I376*$M376*$AB$11)</f>
        <v>0</v>
      </c>
      <c r="AC376" s="123"/>
      <c r="AD376" s="123"/>
      <c r="AE376" s="123">
        <v>3</v>
      </c>
      <c r="AF376" s="127">
        <f>(AE376/12*2*$E376*$G376*$H376*$M376*$AF$11)+(AE376/12*10*$F376*$G376*$I376*$M376*$AF$11)</f>
        <v>198244.66662000003</v>
      </c>
      <c r="AG376" s="123">
        <f>30+3</f>
        <v>33</v>
      </c>
      <c r="AH376" s="126">
        <f>(AG376/12*2*$E376*$G376*$H376*$M376*$AH$11)+(AG376/12*10*$F376*$G376*$I376*$M376*$AH$11)</f>
        <v>2180691.3328200001</v>
      </c>
      <c r="AI376" s="130"/>
      <c r="AJ376" s="123">
        <f t="shared" si="520"/>
        <v>0</v>
      </c>
      <c r="AK376" s="123"/>
      <c r="AL376" s="123">
        <f t="shared" si="521"/>
        <v>0</v>
      </c>
      <c r="AM376" s="132"/>
      <c r="AN376" s="123">
        <f>(AM376/12*2*$E376*$G376*$H376*$N376*$AN$11)+(AM376/12*10*$F376*$G376*$I376*$N376*$AN$12)</f>
        <v>0</v>
      </c>
      <c r="AO376" s="130"/>
      <c r="AP376" s="127">
        <f>(AO376/12*2*$E376*$G376*$H376*$N376*$AP$11)+(AO376/12*10*$F376*$G376*$I376*$N376*$AP$11)</f>
        <v>0</v>
      </c>
      <c r="AQ376" s="127">
        <v>0</v>
      </c>
      <c r="AR376" s="127">
        <v>0</v>
      </c>
      <c r="AS376" s="123"/>
      <c r="AT376" s="123"/>
      <c r="AU376" s="123"/>
      <c r="AV376" s="126"/>
      <c r="AW376" s="123"/>
      <c r="AX376" s="123">
        <f>(AW376/12*2*$E376*$G376*$H376*$M376*$AX$11)+(AW376/12*10*$F376*$G376*$I376*$M376*$AX$12)</f>
        <v>0</v>
      </c>
      <c r="AY376" s="123">
        <v>65</v>
      </c>
      <c r="AZ376" s="123">
        <f>(AY376/12*2*$E376*$G376*$H376*$N376*$AZ$11)+(AY376/12*10*$F376*$G376*$I376*$N376*$AZ$11)</f>
        <v>5154361.3321200013</v>
      </c>
      <c r="BA376" s="123"/>
      <c r="BB376" s="123">
        <f>(BA376/12*2*$E376*$G376*$H376*$N376*$BB$11)+(BA376/12*10*$F376*$G376*$I376*$N376*$BB$12)</f>
        <v>0</v>
      </c>
      <c r="BC376" s="123"/>
      <c r="BD376" s="126"/>
      <c r="BE376" s="123"/>
      <c r="BF376" s="123">
        <f>(BE376/12*10*$F376*$G376*$I376*$N376*$BF$12)</f>
        <v>0</v>
      </c>
      <c r="BG376" s="123"/>
      <c r="BH376" s="123">
        <f>(BG376/12*2*$E376*$G376*$H376*$N376*$BH$11)+(BG376/12*10*$F376*$G376*$I376*$N376*$BH$11)</f>
        <v>0</v>
      </c>
      <c r="BI376" s="123">
        <v>2</v>
      </c>
      <c r="BJ376" s="126">
        <f>(BI376/12*2*$E376*$G376*$H376*$N376*$BJ$11)+(BI376/12*10*$F376*$G376*$I376*$N376*$BJ$11)</f>
        <v>173013.52723200002</v>
      </c>
      <c r="BK376" s="123">
        <v>1</v>
      </c>
      <c r="BL376" s="127">
        <f>(BK376/12*2*$E376*$G376*$H376*$N376*$BL$11)+(BK376/12*10*$F376*$G376*$I376*$N376*$BL$11)</f>
        <v>86506.763616000011</v>
      </c>
      <c r="BM376" s="123"/>
      <c r="BN376" s="123">
        <f>(BM376/12*2*$E376*$G376*$H376*$M376*$BN$11)+(BM376/12*10*$F376*$G376*$I376*$M376*$BN$11)</f>
        <v>0</v>
      </c>
      <c r="BO376" s="123"/>
      <c r="BP376" s="123">
        <f>(BO376/12*2*$E376*$G376*$H376*$M376*$BP$11)+(BO376/12*10*$F376*$G376*$I376*$M376*$BP$12)</f>
        <v>0</v>
      </c>
      <c r="BQ376" s="123"/>
      <c r="BR376" s="123">
        <f>(BQ376/12*2*$E376*$G376*$H376*$M376*$BR$11)+(BQ376/12*10*$F376*$G376*$I376*$M376*$BR$11)</f>
        <v>0</v>
      </c>
      <c r="BS376" s="123"/>
      <c r="BT376" s="123">
        <f>(BS376/12*2*$E376*$G376*$H376*$N376*$BT$11)+(BS376/12*10*$F376*$G376*$I376*$N376*$BT$11)</f>
        <v>0</v>
      </c>
      <c r="BU376" s="123"/>
      <c r="BV376" s="126">
        <f>(BU376/12*2*$E376*$G376*$H376*$M376*$BV$11)+(BU376/12*10*$F376*$G376*$I376*$M376*$BV$11)</f>
        <v>0</v>
      </c>
      <c r="BW376" s="123"/>
      <c r="BX376" s="123">
        <f>(BW376/12*2*$E376*$G376*$H376*$M376*$BX$11)+(BW376/12*10*$F376*$G376*$I376*$M376*$BX$11)</f>
        <v>0</v>
      </c>
      <c r="BY376" s="123"/>
      <c r="BZ376" s="123">
        <f>(BY376/12*2*$E376*$G376*$H376*$M376*$BZ$11)+(BY376/12*10*$F376*$G376*$I376*$M376*$BZ$11)</f>
        <v>0</v>
      </c>
      <c r="CA376" s="123"/>
      <c r="CB376" s="123">
        <f>(CA376/12*2*$E376*$G376*$H376*$M376*$CB$11)+(CA376/12*10*$F376*$G376*$I376*$M376*$CB$11)</f>
        <v>0</v>
      </c>
      <c r="CC376" s="123"/>
      <c r="CD376" s="123">
        <f>(CC376/12*2*$E376*$G376*$H376*$M376*$CD$11)+(CC376/12*10*$F376*$G376*$I376*$M376*$CD$11)</f>
        <v>0</v>
      </c>
      <c r="CE376" s="123"/>
      <c r="CF376" s="123">
        <f>(CE376/12*10*$F376*$G376*$I376*$N376*$CF$11)</f>
        <v>0</v>
      </c>
      <c r="CG376" s="132"/>
      <c r="CH376" s="123">
        <f>(CG376/12*2*$E376*$G376*$H376*$N376*$CH$11)+(CG376/12*10*$F376*$G376*$I376*$N376*$CH$11)</f>
        <v>0</v>
      </c>
      <c r="CI376" s="123"/>
      <c r="CJ376" s="127"/>
      <c r="CK376" s="123"/>
      <c r="CL376" s="123">
        <f>(CK376/12*2*$E376*$G376*$H376*$N376*$CL$11)+(CK376/12*10*$F376*$G376*$I376*$N376*$CL$12)</f>
        <v>0</v>
      </c>
      <c r="CM376" s="130"/>
      <c r="CN376" s="123">
        <f>(CM376/12*2*$E376*$G376*$H376*$N376*$CN$11)+(CM376/12*10*$F376*$G376*$I376*$N376*$CN$11)</f>
        <v>0</v>
      </c>
      <c r="CO376" s="123"/>
      <c r="CP376" s="123">
        <f>(CO376/12*2*$E376*$G376*$H376*$N376*$CP$11)+(CO376/12*10*$F376*$G376*$I376*$N376*$CP$11)</f>
        <v>0</v>
      </c>
      <c r="CQ376" s="123"/>
      <c r="CR376" s="123">
        <f>(CQ376/12*2*$E376*$G376*$H376*$O376*$CR$11)+(CQ376/12*10*$F376*$G376*$I376*$O376*$CR$11)</f>
        <v>0</v>
      </c>
      <c r="CS376" s="123"/>
      <c r="CT376" s="133">
        <f>(CS376/12*2*$E376*$G376*$H376*$P376*$CT$11)+(CS376/12*10*$F376*$G376*$I376*$P376*$CT$11)</f>
        <v>0</v>
      </c>
      <c r="CU376" s="127"/>
      <c r="CV376" s="123"/>
      <c r="CW376" s="126">
        <f t="shared" si="519"/>
        <v>350</v>
      </c>
      <c r="CX376" s="126">
        <f t="shared" si="519"/>
        <v>24179569.186877999</v>
      </c>
    </row>
    <row r="377" spans="1:102" ht="45" x14ac:dyDescent="0.25">
      <c r="A377" s="91"/>
      <c r="B377" s="116">
        <v>305</v>
      </c>
      <c r="C377" s="117" t="s">
        <v>872</v>
      </c>
      <c r="D377" s="161" t="s">
        <v>873</v>
      </c>
      <c r="E377" s="95">
        <v>28004</v>
      </c>
      <c r="F377" s="96">
        <v>29405</v>
      </c>
      <c r="G377" s="119">
        <v>1.95</v>
      </c>
      <c r="H377" s="110">
        <v>0.95</v>
      </c>
      <c r="I377" s="110">
        <v>0.9</v>
      </c>
      <c r="J377" s="108"/>
      <c r="K377" s="108"/>
      <c r="L377" s="63"/>
      <c r="M377" s="120">
        <v>1.4</v>
      </c>
      <c r="N377" s="120">
        <v>1.68</v>
      </c>
      <c r="O377" s="120">
        <v>2.23</v>
      </c>
      <c r="P377" s="121">
        <v>2.57</v>
      </c>
      <c r="Q377" s="122">
        <v>46</v>
      </c>
      <c r="R377" s="123">
        <f>(Q377/12*2*$E377*$G377*$H377*$M377*$R$11)+(Q377/12*10*$F377*$G377*$I377*$M377*$R$11)</f>
        <v>3658960.2049000002</v>
      </c>
      <c r="S377" s="124"/>
      <c r="T377" s="125">
        <f>(S377/12*2*$E377*$G377*$H377*$M377*$R$11)+(S377/12*10*$F377*$G377*$I377*$M377*$R$11)</f>
        <v>0</v>
      </c>
      <c r="U377" s="123"/>
      <c r="V377" s="123">
        <f>(U377/12*2*$E377*$G377*$H377*$M377*$V$11)+(U377/12*10*$F377*$G377*$I377*$M377*$V$12)</f>
        <v>0</v>
      </c>
      <c r="W377" s="123"/>
      <c r="X377" s="126">
        <f>(W377/12*2*$E377*$G377*$H377*$M377*$X$11)+(W377/12*10*$F377*$G377*$I377*$M377*$X$12)</f>
        <v>0</v>
      </c>
      <c r="Y377" s="123">
        <f>6-3</f>
        <v>3</v>
      </c>
      <c r="Z377" s="123">
        <f>(Y377/12*2*$E377*$G377*$H377*$M377*$Z$11)+(Y377/12*10*$F377*$G377*$I377*$M377*$Z$12)</f>
        <v>291064.74442499998</v>
      </c>
      <c r="AA377" s="123"/>
      <c r="AB377" s="123">
        <f>(AA377/12*2*$E377*$G377*$H377*$M377*$AB$11)+(AA377/12*10*$F377*$G377*$I377*$M377*$AB$11)</f>
        <v>0</v>
      </c>
      <c r="AC377" s="123"/>
      <c r="AD377" s="123"/>
      <c r="AE377" s="123">
        <v>5</v>
      </c>
      <c r="AF377" s="127">
        <f>(AE377/12*2*$E377*$G377*$H377*$M377*$AF$11)+(AE377/12*10*$F377*$G377*$I377*$M377*$AF$11)</f>
        <v>397713.06575000001</v>
      </c>
      <c r="AG377" s="123">
        <f>90-3</f>
        <v>87</v>
      </c>
      <c r="AH377" s="126">
        <f>(AG377/12*2*$E377*$G377*$H377*$M377*$AH$11)+(AG377/12*10*$F377*$G377*$I377*$M377*$AH$11)</f>
        <v>6920207.3440499995</v>
      </c>
      <c r="AI377" s="130"/>
      <c r="AJ377" s="123">
        <f t="shared" si="520"/>
        <v>0</v>
      </c>
      <c r="AK377" s="123"/>
      <c r="AL377" s="123">
        <f t="shared" si="521"/>
        <v>0</v>
      </c>
      <c r="AM377" s="129">
        <v>0</v>
      </c>
      <c r="AN377" s="123">
        <f>(AM377/12*2*$E377*$G377*$H377*$N377*$AN$11)+(AM377/12*10*$F377*$G377*$I377*$N377*$AN$12)</f>
        <v>0</v>
      </c>
      <c r="AO377" s="130"/>
      <c r="AP377" s="127">
        <f>(AO377/12*2*$E377*$G377*$H377*$N377*$AP$11)+(AO377/12*10*$F377*$G377*$I377*$N377*$AP$11)</f>
        <v>0</v>
      </c>
      <c r="AQ377" s="127">
        <v>0</v>
      </c>
      <c r="AR377" s="127">
        <v>0</v>
      </c>
      <c r="AS377" s="123"/>
      <c r="AT377" s="123"/>
      <c r="AU377" s="123"/>
      <c r="AV377" s="126"/>
      <c r="AW377" s="123"/>
      <c r="AX377" s="123">
        <f>(AW377/12*2*$E377*$G377*$H377*$M377*$AX$11)+(AW377/12*10*$F377*$G377*$I377*$M377*$AX$12)</f>
        <v>0</v>
      </c>
      <c r="AY377" s="123">
        <v>52</v>
      </c>
      <c r="AZ377" s="123">
        <f>(AY377/12*2*$E377*$G377*$H377*$N377*$AZ$11)+(AY377/12*10*$F377*$G377*$I377*$N377*$AZ$11)</f>
        <v>4963459.0605599992</v>
      </c>
      <c r="BA377" s="123"/>
      <c r="BB377" s="123">
        <f>(BA377/12*2*$E377*$G377*$H377*$N377*$BB$11)+(BA377/12*10*$F377*$G377*$I377*$N377*$BB$12)</f>
        <v>0</v>
      </c>
      <c r="BC377" s="123"/>
      <c r="BD377" s="126"/>
      <c r="BE377" s="123"/>
      <c r="BF377" s="123">
        <f>(BE377/12*10*$F377*$G377*$I377*$N377*$BF$12)</f>
        <v>0</v>
      </c>
      <c r="BG377" s="123"/>
      <c r="BH377" s="123">
        <f>(BG377/12*2*$E377*$G377*$H377*$N377*$BH$11)+(BG377/12*10*$F377*$G377*$I377*$N377*$BH$11)</f>
        <v>0</v>
      </c>
      <c r="BI377" s="123"/>
      <c r="BJ377" s="126">
        <f>(BI377/12*2*$E377*$G377*$H377*$N377*$BJ$11)+(BI377/12*10*$F377*$G377*$I377*$N377*$BJ$11)</f>
        <v>0</v>
      </c>
      <c r="BK377" s="123"/>
      <c r="BL377" s="127">
        <f>(BK377/12*2*$E377*$G377*$H377*$N377*$BL$11)+(BK377/12*10*$F377*$G377*$I377*$N377*$BL$11)</f>
        <v>0</v>
      </c>
      <c r="BM377" s="123"/>
      <c r="BN377" s="123">
        <f>(BM377/12*2*$E377*$G377*$H377*$M377*$BN$11)+(BM377/12*10*$F377*$G377*$I377*$M377*$BN$11)</f>
        <v>0</v>
      </c>
      <c r="BO377" s="123"/>
      <c r="BP377" s="123">
        <f>(BO377/12*2*$E377*$G377*$H377*$M377*$BP$11)+(BO377/12*10*$F377*$G377*$I377*$M377*$BP$12)</f>
        <v>0</v>
      </c>
      <c r="BQ377" s="123"/>
      <c r="BR377" s="123">
        <f>(BQ377/12*2*$E377*$G377*$H377*$M377*$BR$11)+(BQ377/12*10*$F377*$G377*$I377*$M377*$BR$11)</f>
        <v>0</v>
      </c>
      <c r="BS377" s="123"/>
      <c r="BT377" s="123">
        <f>(BS377/12*2*$E377*$G377*$H377*$N377*$BT$11)+(BS377/12*10*$F377*$G377*$I377*$N377*$BT$11)</f>
        <v>0</v>
      </c>
      <c r="BU377" s="123"/>
      <c r="BV377" s="126">
        <f>(BU377/12*2*$E377*$G377*$H377*$M377*$BV$11)+(BU377/12*10*$F377*$G377*$I377*$M377*$BV$11)</f>
        <v>0</v>
      </c>
      <c r="BW377" s="123"/>
      <c r="BX377" s="123">
        <f>(BW377/12*2*$E377*$G377*$H377*$M377*$BX$11)+(BW377/12*10*$F377*$G377*$I377*$M377*$BX$11)</f>
        <v>0</v>
      </c>
      <c r="BY377" s="123"/>
      <c r="BZ377" s="123">
        <f>(BY377/12*2*$E377*$G377*$H377*$M377*$BZ$11)+(BY377/12*10*$F377*$G377*$I377*$M377*$BZ$11)</f>
        <v>0</v>
      </c>
      <c r="CA377" s="123"/>
      <c r="CB377" s="123">
        <f>(CA377/12*2*$E377*$G377*$H377*$M377*$CB$11)+(CA377/12*10*$F377*$G377*$I377*$M377*$CB$11)</f>
        <v>0</v>
      </c>
      <c r="CC377" s="123"/>
      <c r="CD377" s="123">
        <f>(CC377/12*2*$E377*$G377*$H377*$M377*$CD$11)+(CC377/12*10*$F377*$G377*$I377*$M377*$CD$11)</f>
        <v>0</v>
      </c>
      <c r="CE377" s="123"/>
      <c r="CF377" s="123">
        <f>(CE377/12*10*$F377*$G377*$I377*$N377*$CF$11)</f>
        <v>0</v>
      </c>
      <c r="CG377" s="132"/>
      <c r="CH377" s="123">
        <f>(CG377/12*2*$E377*$G377*$H377*$N377*$CH$11)+(CG377/12*10*$F377*$G377*$I377*$N377*$CH$11)</f>
        <v>0</v>
      </c>
      <c r="CI377" s="123"/>
      <c r="CJ377" s="127"/>
      <c r="CK377" s="123"/>
      <c r="CL377" s="123">
        <f>(CK377/12*2*$E377*$G377*$H377*$N377*$CL$11)+(CK377/12*10*$F377*$G377*$I377*$N377*$CL$12)</f>
        <v>0</v>
      </c>
      <c r="CM377" s="130"/>
      <c r="CN377" s="123">
        <f>(CM377/12*2*$E377*$G377*$H377*$N377*$CN$11)+(CM377/12*10*$F377*$G377*$I377*$N377*$CN$11)</f>
        <v>0</v>
      </c>
      <c r="CO377" s="123"/>
      <c r="CP377" s="123">
        <f>(CO377/12*2*$E377*$G377*$H377*$N377*$CP$11)+(CO377/12*10*$F377*$G377*$I377*$N377*$CP$11)</f>
        <v>0</v>
      </c>
      <c r="CQ377" s="123"/>
      <c r="CR377" s="123">
        <f>(CQ377/12*2*$E377*$G377*$H377*$O377*$CR$11)+(CQ377/12*10*$F377*$G377*$I377*$O377*$CR$11)</f>
        <v>0</v>
      </c>
      <c r="CS377" s="123"/>
      <c r="CT377" s="133">
        <f>(CS377/12*2*$E377*$G377*$H377*$P377*$CT$11)+(CS377/12*10*$F377*$G377*$I377*$P377*$CT$11)</f>
        <v>0</v>
      </c>
      <c r="CU377" s="127"/>
      <c r="CV377" s="123"/>
      <c r="CW377" s="126">
        <f t="shared" si="519"/>
        <v>193</v>
      </c>
      <c r="CX377" s="126">
        <f t="shared" si="519"/>
        <v>16231404.419684999</v>
      </c>
    </row>
    <row r="378" spans="1:102" ht="45" x14ac:dyDescent="0.25">
      <c r="A378" s="91"/>
      <c r="B378" s="116">
        <v>306</v>
      </c>
      <c r="C378" s="117" t="s">
        <v>874</v>
      </c>
      <c r="D378" s="161" t="s">
        <v>875</v>
      </c>
      <c r="E378" s="95">
        <v>28004</v>
      </c>
      <c r="F378" s="96">
        <v>29405</v>
      </c>
      <c r="G378" s="119">
        <v>2.14</v>
      </c>
      <c r="H378" s="110">
        <v>0.95</v>
      </c>
      <c r="I378" s="110">
        <v>0.9</v>
      </c>
      <c r="J378" s="203"/>
      <c r="K378" s="203"/>
      <c r="L378" s="63"/>
      <c r="M378" s="120">
        <v>1.4</v>
      </c>
      <c r="N378" s="120">
        <v>1.68</v>
      </c>
      <c r="O378" s="120">
        <v>2.23</v>
      </c>
      <c r="P378" s="121">
        <v>2.57</v>
      </c>
      <c r="Q378" s="122">
        <v>427</v>
      </c>
      <c r="R378" s="123">
        <f>(Q378/12*2*$E378*$G378*$H378*$M378*$R$11)+(Q378/12*10*$F378*$G378*$I378*$M378*$R$11)</f>
        <v>37274076.43292667</v>
      </c>
      <c r="S378" s="124"/>
      <c r="T378" s="125">
        <f>(S378/12*2*$E378*$G378*$H378*$M378*$R$11)+(S378/12*10*$F378*$G378*$I378*$M378*$R$11)</f>
        <v>0</v>
      </c>
      <c r="U378" s="123"/>
      <c r="V378" s="123">
        <f>(U378/12*2*$E378*$G378*$H378*$M378*$V$11)+(U378/12*10*$F378*$G378*$I378*$M378*$V$12)</f>
        <v>0</v>
      </c>
      <c r="W378" s="123"/>
      <c r="X378" s="126">
        <f>(W378/12*2*$E378*$G378*$H378*$M378*$X$11)+(W378/12*10*$F378*$G378*$I378*$M378*$X$12)</f>
        <v>0</v>
      </c>
      <c r="Y378" s="123">
        <v>2</v>
      </c>
      <c r="Z378" s="123">
        <f>(Y378/12*2*$E378*$G378*$H378*$M378*$Z$11)+(Y378/12*10*$F378*$G378*$I378*$M378*$Z$12)</f>
        <v>212949.93267333336</v>
      </c>
      <c r="AA378" s="123"/>
      <c r="AB378" s="123">
        <f>(AA378/12*2*$E378*$G378*$H378*$M378*$AB$11)+(AA378/12*10*$F378*$G378*$I378*$M378*$AB$11)</f>
        <v>0</v>
      </c>
      <c r="AC378" s="123"/>
      <c r="AD378" s="123"/>
      <c r="AE378" s="123">
        <v>25</v>
      </c>
      <c r="AF378" s="127">
        <f>(AE378/12*2*$E378*$G378*$H378*$M378*$AF$11)+(AE378/12*10*$F378*$G378*$I378*$M378*$AF$11)</f>
        <v>2182322.976166667</v>
      </c>
      <c r="AG378" s="123">
        <f>80+2</f>
        <v>82</v>
      </c>
      <c r="AH378" s="126">
        <f>(AG378/12*2*$E378*$G378*$H378*$M378*$AH$11)+(AG378/12*10*$F378*$G378*$I378*$M378*$AH$11)</f>
        <v>7158019.3618266666</v>
      </c>
      <c r="AI378" s="130"/>
      <c r="AJ378" s="123">
        <f t="shared" si="520"/>
        <v>0</v>
      </c>
      <c r="AK378" s="123"/>
      <c r="AL378" s="123">
        <f t="shared" si="521"/>
        <v>0</v>
      </c>
      <c r="AM378" s="132"/>
      <c r="AN378" s="123">
        <f>(AM378/12*2*$E378*$G378*$H378*$N378*$AN$11)+(AM378/12*10*$F378*$G378*$I378*$N378*$AN$12)</f>
        <v>0</v>
      </c>
      <c r="AO378" s="130"/>
      <c r="AP378" s="127">
        <f>(AO378/12*2*$E378*$G378*$H378*$N378*$AP$11)+(AO378/12*10*$F378*$G378*$I378*$N378*$AP$11)</f>
        <v>0</v>
      </c>
      <c r="AQ378" s="127">
        <v>0</v>
      </c>
      <c r="AR378" s="127">
        <v>0</v>
      </c>
      <c r="AS378" s="123"/>
      <c r="AT378" s="123"/>
      <c r="AU378" s="123"/>
      <c r="AV378" s="126"/>
      <c r="AW378" s="123"/>
      <c r="AX378" s="123">
        <f>(AW378/12*2*$E378*$G378*$H378*$M378*$AX$11)+(AW378/12*10*$F378*$G378*$I378*$M378*$AX$12)</f>
        <v>0</v>
      </c>
      <c r="AY378" s="123">
        <f>220-30</f>
        <v>190</v>
      </c>
      <c r="AZ378" s="123">
        <f>(AY378/12*2*$E378*$G378*$H378*$N378*$AZ$11)+(AY378/12*10*$F378*$G378*$I378*$N378*$AZ$11)</f>
        <v>19902785.542640004</v>
      </c>
      <c r="BA378" s="123"/>
      <c r="BB378" s="123">
        <f>(BA378/12*2*$E378*$G378*$H378*$N378*$BB$11)+(BA378/12*10*$F378*$G378*$I378*$N378*$BB$12)</f>
        <v>0</v>
      </c>
      <c r="BC378" s="123"/>
      <c r="BD378" s="126"/>
      <c r="BE378" s="123"/>
      <c r="BF378" s="123">
        <f>(BE378/12*10*$F378*$G378*$I378*$N378*$BF$12)</f>
        <v>0</v>
      </c>
      <c r="BG378" s="123"/>
      <c r="BH378" s="123">
        <f>(BG378/12*2*$E378*$G378*$H378*$N378*$BH$11)+(BG378/12*10*$F378*$G378*$I378*$N378*$BH$11)</f>
        <v>0</v>
      </c>
      <c r="BI378" s="123"/>
      <c r="BJ378" s="126">
        <f>(BI378/12*2*$E378*$G378*$H378*$N378*$BJ$11)+(BI378/12*10*$F378*$G378*$I378*$N378*$BJ$11)</f>
        <v>0</v>
      </c>
      <c r="BK378" s="123"/>
      <c r="BL378" s="127">
        <f>(BK378/12*2*$E378*$G378*$H378*$N378*$BL$11)+(BK378/12*10*$F378*$G378*$I378*$N378*$BL$11)</f>
        <v>0</v>
      </c>
      <c r="BM378" s="123"/>
      <c r="BN378" s="123">
        <f>(BM378/12*2*$E378*$G378*$H378*$M378*$BN$11)+(BM378/12*10*$F378*$G378*$I378*$M378*$BN$11)</f>
        <v>0</v>
      </c>
      <c r="BO378" s="123"/>
      <c r="BP378" s="123">
        <f>(BO378/12*2*$E378*$G378*$H378*$M378*$BP$11)+(BO378/12*10*$F378*$G378*$I378*$M378*$BP$12)</f>
        <v>0</v>
      </c>
      <c r="BQ378" s="123"/>
      <c r="BR378" s="123">
        <f>(BQ378/12*2*$E378*$G378*$H378*$M378*$BR$11)+(BQ378/12*10*$F378*$G378*$I378*$M378*$BR$11)</f>
        <v>0</v>
      </c>
      <c r="BS378" s="123"/>
      <c r="BT378" s="123">
        <f>(BS378/12*2*$E378*$G378*$H378*$N378*$BT$11)+(BS378/12*10*$F378*$G378*$I378*$N378*$BT$11)</f>
        <v>0</v>
      </c>
      <c r="BU378" s="123"/>
      <c r="BV378" s="126">
        <f>(BU378/12*2*$E378*$G378*$H378*$M378*$BV$11)+(BU378/12*10*$F378*$G378*$I378*$M378*$BV$11)</f>
        <v>0</v>
      </c>
      <c r="BW378" s="123"/>
      <c r="BX378" s="123">
        <f>(BW378/12*2*$E378*$G378*$H378*$M378*$BX$11)+(BW378/12*10*$F378*$G378*$I378*$M378*$BX$11)</f>
        <v>0</v>
      </c>
      <c r="BY378" s="123"/>
      <c r="BZ378" s="123">
        <f>(BY378/12*2*$E378*$G378*$H378*$M378*$BZ$11)+(BY378/12*10*$F378*$G378*$I378*$M378*$BZ$11)</f>
        <v>0</v>
      </c>
      <c r="CA378" s="123"/>
      <c r="CB378" s="123">
        <f>(CA378/12*2*$E378*$G378*$H378*$M378*$CB$11)+(CA378/12*10*$F378*$G378*$I378*$M378*$CB$11)</f>
        <v>0</v>
      </c>
      <c r="CC378" s="123"/>
      <c r="CD378" s="123">
        <f>(CC378/12*2*$E378*$G378*$H378*$M378*$CD$11)+(CC378/12*10*$F378*$G378*$I378*$M378*$CD$11)</f>
        <v>0</v>
      </c>
      <c r="CE378" s="123"/>
      <c r="CF378" s="123">
        <f>(CE378/12*10*$F378*$G378*$I378*$N378*$CF$11)</f>
        <v>0</v>
      </c>
      <c r="CG378" s="132"/>
      <c r="CH378" s="123">
        <f>(CG378/12*2*$E378*$G378*$H378*$N378*$CH$11)+(CG378/12*10*$F378*$G378*$I378*$N378*$CH$11)</f>
        <v>0</v>
      </c>
      <c r="CI378" s="123"/>
      <c r="CJ378" s="127"/>
      <c r="CK378" s="123"/>
      <c r="CL378" s="123">
        <f>(CK378/12*2*$E378*$G378*$H378*$N378*$CL$11)+(CK378/12*10*$F378*$G378*$I378*$N378*$CL$12)</f>
        <v>0</v>
      </c>
      <c r="CM378" s="130"/>
      <c r="CN378" s="123">
        <f>(CM378/12*2*$E378*$G378*$H378*$N378*$CN$11)+(CM378/12*10*$F378*$G378*$I378*$N378*$CN$11)</f>
        <v>0</v>
      </c>
      <c r="CO378" s="123"/>
      <c r="CP378" s="123">
        <f>(CO378/12*2*$E378*$G378*$H378*$N378*$CP$11)+(CO378/12*10*$F378*$G378*$I378*$N378*$CP$11)</f>
        <v>0</v>
      </c>
      <c r="CQ378" s="123"/>
      <c r="CR378" s="123">
        <f>(CQ378/12*2*$E378*$G378*$H378*$O378*$CR$11)+(CQ378/12*10*$F378*$G378*$I378*$O378*$CR$11)</f>
        <v>0</v>
      </c>
      <c r="CS378" s="123"/>
      <c r="CT378" s="133">
        <f>(CS378/12*2*$E378*$G378*$H378*$P378*$CT$11)+(CS378/12*10*$F378*$G378*$I378*$P378*$CT$11)</f>
        <v>0</v>
      </c>
      <c r="CU378" s="127"/>
      <c r="CV378" s="123"/>
      <c r="CW378" s="126">
        <f t="shared" si="519"/>
        <v>726</v>
      </c>
      <c r="CX378" s="126">
        <f t="shared" si="519"/>
        <v>66730154.246233344</v>
      </c>
    </row>
    <row r="379" spans="1:102" ht="45" x14ac:dyDescent="0.25">
      <c r="A379" s="91"/>
      <c r="B379" s="116">
        <v>307</v>
      </c>
      <c r="C379" s="117" t="s">
        <v>876</v>
      </c>
      <c r="D379" s="161" t="s">
        <v>877</v>
      </c>
      <c r="E379" s="95">
        <v>28004</v>
      </c>
      <c r="F379" s="96">
        <v>29405</v>
      </c>
      <c r="G379" s="119">
        <v>4.13</v>
      </c>
      <c r="H379" s="107">
        <v>1</v>
      </c>
      <c r="I379" s="110">
        <v>0.95</v>
      </c>
      <c r="J379" s="108"/>
      <c r="K379" s="108"/>
      <c r="L379" s="63"/>
      <c r="M379" s="120">
        <v>1.4</v>
      </c>
      <c r="N379" s="120">
        <v>1.68</v>
      </c>
      <c r="O379" s="120">
        <v>2.23</v>
      </c>
      <c r="P379" s="121">
        <v>2.57</v>
      </c>
      <c r="Q379" s="122">
        <v>26</v>
      </c>
      <c r="R379" s="123">
        <f>(Q379/12*2*$E379*$G379*$H379*$M379)+(Q379/12*10*$F379*$G379*$I379*$M379)</f>
        <v>4201221.9188333321</v>
      </c>
      <c r="S379" s="124"/>
      <c r="T379" s="125">
        <f>(S379/12*2*$E379*$G379*$H379*$M379)+(S379/12*10*$F379*$G379*$I379*$M379)</f>
        <v>0</v>
      </c>
      <c r="U379" s="123"/>
      <c r="V379" s="123">
        <f>(U379/12*2*$E379*$G379*$H379*$M379)+(U379/12*10*$F379*$G379*$I379*$M379)</f>
        <v>0</v>
      </c>
      <c r="W379" s="123"/>
      <c r="X379" s="123">
        <f>(W379/12*2*$E379*$G379*$H379*$M379)+(W379/12*10*$F379*$G379*$I379*$M379)</f>
        <v>0</v>
      </c>
      <c r="Y379" s="123">
        <f>24-7</f>
        <v>17</v>
      </c>
      <c r="Z379" s="123">
        <f>(Y379/12*2*$E379*$G379*$H379*$M379)+(Y379/12*10*$F379*$G379*$I379*$M379)</f>
        <v>2746952.7930833329</v>
      </c>
      <c r="AA379" s="123"/>
      <c r="AB379" s="123">
        <f>(AA379*$E379*$G379*$H379*$M379)/12*2+(AA379*$F379*$G379*$I379*$M379)/12*10</f>
        <v>0</v>
      </c>
      <c r="AC379" s="123"/>
      <c r="AD379" s="123"/>
      <c r="AE379" s="123">
        <v>1</v>
      </c>
      <c r="AF379" s="127">
        <f>(AE379/12*2*$E379*$G379*$H379*$M379)+(AE379/12*10*$F379*$G379*$I379*$M379)</f>
        <v>161585.45841666663</v>
      </c>
      <c r="AG379" s="123">
        <f>10-2</f>
        <v>8</v>
      </c>
      <c r="AH379" s="123">
        <f>(AG379/12*2*$E379*$G379*$H379*$M379)+(AG379/12*10*$F379*$G379*$I379*$M379)</f>
        <v>1292683.6673333331</v>
      </c>
      <c r="AI379" s="130"/>
      <c r="AJ379" s="123">
        <f>(AI379/12*2*$E379*$G379*$H379*$M379)+(AI379/12*10*$F379*$G379*$I379*$M379)</f>
        <v>0</v>
      </c>
      <c r="AK379" s="123"/>
      <c r="AL379" s="126">
        <f>(AK379/12*2*$E379*$G379*$H379*$N379)+(AK379/12*10*$F379*$G379*$I379*$N379)</f>
        <v>0</v>
      </c>
      <c r="AM379" s="132"/>
      <c r="AN379" s="123">
        <f>(AM379/12*2*$E379*$G379*$H379*$N379)+(AM379/12*10*$F379*$G379*$I379*$N379)</f>
        <v>0</v>
      </c>
      <c r="AO379" s="130"/>
      <c r="AP379" s="123">
        <f>(AO379/12*2*$E379*$G379*$H379*$N379)+(AO379/12*10*$F379*$G379*$I379*$N379)</f>
        <v>0</v>
      </c>
      <c r="AQ379" s="123">
        <v>0</v>
      </c>
      <c r="AR379" s="123">
        <v>0</v>
      </c>
      <c r="AS379" s="123"/>
      <c r="AT379" s="123">
        <f>(AS379*$E379*$G379*$H379*$M379)/12*3+(AS379*$F379*$G379*$I379*$M379)/12*9</f>
        <v>0</v>
      </c>
      <c r="AU379" s="123"/>
      <c r="AV379" s="123"/>
      <c r="AW379" s="123"/>
      <c r="AX379" s="123">
        <f>(AW379/12*2*$E379*$G379*$H379*$M379)+(AW379/12*10*$F379*$G379*$I379*$M379)</f>
        <v>0</v>
      </c>
      <c r="AY379" s="123">
        <v>2</v>
      </c>
      <c r="AZ379" s="123">
        <f>(AY379/12*2*$E379*$G379*$H379*$N379)+(AY379/12*10*$F379*$G379*$I379*$N379)</f>
        <v>387805.10019999987</v>
      </c>
      <c r="BA379" s="123"/>
      <c r="BB379" s="123">
        <f>(BA379/12*2*$E379*$G379*$H379*$N379)+(BA379/12*10*$F379*$G379*$I379*$N379)</f>
        <v>0</v>
      </c>
      <c r="BC379" s="123"/>
      <c r="BD379" s="123">
        <f>(BC379/12*2*$E379*$G379*$H379*$N379)+(BC379/12*10*$F379*$G379*$I379*$N379)</f>
        <v>0</v>
      </c>
      <c r="BE379" s="123"/>
      <c r="BF379" s="123">
        <f>(BE379/12*10*$F379*$G379*$I379*$N379)</f>
        <v>0</v>
      </c>
      <c r="BG379" s="123"/>
      <c r="BH379" s="123">
        <f>(BG379/12*2*$E379*$G379*$H379*$N379)+(BG379/12*10*$F379*$G379*$I379*$N379)</f>
        <v>0</v>
      </c>
      <c r="BI379" s="123"/>
      <c r="BJ379" s="123">
        <f>(BI379/12*2*$E379*$G379*$H379*$N379)+(BI379/12*10*$F379*$G379*$I379*$N379)</f>
        <v>0</v>
      </c>
      <c r="BK379" s="123"/>
      <c r="BL379" s="123">
        <f>(BK379/12*2*$E379*$G379*$H379*$N379)+(BK379/12*10*$F379*$G379*$I379*$N379)</f>
        <v>0</v>
      </c>
      <c r="BM379" s="123"/>
      <c r="BN379" s="123"/>
      <c r="BO379" s="123"/>
      <c r="BP379" s="123">
        <f>(BO379/12*2*$E379*$G379*$H379*$M379)+(BO379/12*10*$F379*$G379*$I379*$M379)</f>
        <v>0</v>
      </c>
      <c r="BQ379" s="123"/>
      <c r="BR379" s="123">
        <f>(BQ379/12*2*$E379*$G379*$H379*$M379)+(BQ379/12*10*$F379*$G379*$I379*$M379)</f>
        <v>0</v>
      </c>
      <c r="BS379" s="123"/>
      <c r="BT379" s="123">
        <f>(BS379/12*2*$E379*$G379*$H379*$N379)+(BS379/12*10*$F379*$G379*$I379*$N379)</f>
        <v>0</v>
      </c>
      <c r="BU379" s="123"/>
      <c r="BV379" s="123">
        <f>(BU379/12*2*$E379*$G379*$H379*$M379)+(BU379/12*10*$F379*$G379*$I379*$M379)</f>
        <v>0</v>
      </c>
      <c r="BW379" s="123"/>
      <c r="BX379" s="123">
        <f>(BW379/12*2*$E379*$G379*$H379*$M379)+(BW379/12*10*$F379*$G379*$I379*$M379)</f>
        <v>0</v>
      </c>
      <c r="BY379" s="123"/>
      <c r="BZ379" s="123">
        <f>(BY379/12*2*$E379*$G379*$H379*$M379)+(BY379/12*10*$F379*$G379*$I379*$M379)</f>
        <v>0</v>
      </c>
      <c r="CA379" s="123"/>
      <c r="CB379" s="123">
        <f>(CA379/12*2*$E379*$G379*$H379*$M379)+(CA379/12*10*$F379*$G379*$I379*$M379)</f>
        <v>0</v>
      </c>
      <c r="CC379" s="123"/>
      <c r="CD379" s="123">
        <f>(CC379/12*2*$E379*$G379*$H379*$M379)+(CC379/12*10*$F379*$G379*$I379*$M379)</f>
        <v>0</v>
      </c>
      <c r="CE379" s="123"/>
      <c r="CF379" s="123">
        <f>(CE379/12*10*$F379*$G379*$I379*$N379)</f>
        <v>0</v>
      </c>
      <c r="CG379" s="132"/>
      <c r="CH379" s="123">
        <f>(CG379/12*2*$E379*$G379*$H379*$N379)+(CG379/12*10*$F379*$G379*$I379*$N379)</f>
        <v>0</v>
      </c>
      <c r="CI379" s="123"/>
      <c r="CJ379" s="127">
        <f>(CI379*$E379*$G379*$H379*$N379)</f>
        <v>0</v>
      </c>
      <c r="CK379" s="123"/>
      <c r="CL379" s="123">
        <f>(CK379/12*2*$E379*$G379*$H379*$N379)+(CK379/12*10*$F379*$G379*$I379*$N379)</f>
        <v>0</v>
      </c>
      <c r="CM379" s="130"/>
      <c r="CN379" s="123">
        <f>(CM379/12*2*$E379*$G379*$H379*$N379)+(CM379/12*10*$F379*$G379*$I379*$N379)</f>
        <v>0</v>
      </c>
      <c r="CO379" s="123"/>
      <c r="CP379" s="123">
        <f>(CO379/12*2*$E379*$G379*$H379*$N379)+(CO379/12*10*$F379*$G379*$I379*$N379)</f>
        <v>0</v>
      </c>
      <c r="CQ379" s="123"/>
      <c r="CR379" s="123">
        <f>(CQ379/12*2*$E379*$G379*$H379*$O379)+(CQ379/12*10*$F379*$G379*$I379*$O379)</f>
        <v>0</v>
      </c>
      <c r="CS379" s="123"/>
      <c r="CT379" s="127">
        <f>(CS379/12*2*$E379*$G379*$H379*$P379)+(CS379/12*10*$F379*$G379*$I379*$P379)</f>
        <v>0</v>
      </c>
      <c r="CU379" s="127"/>
      <c r="CV379" s="127"/>
      <c r="CW379" s="126">
        <f t="shared" si="519"/>
        <v>54</v>
      </c>
      <c r="CX379" s="126">
        <f t="shared" si="519"/>
        <v>8790248.9378666636</v>
      </c>
    </row>
    <row r="380" spans="1:102" s="237" customFormat="1" ht="30" customHeight="1" x14ac:dyDescent="0.25">
      <c r="A380" s="236"/>
      <c r="B380" s="116">
        <v>308</v>
      </c>
      <c r="C380" s="202" t="s">
        <v>878</v>
      </c>
      <c r="D380" s="148" t="s">
        <v>879</v>
      </c>
      <c r="E380" s="95">
        <v>28004</v>
      </c>
      <c r="F380" s="96">
        <v>29405</v>
      </c>
      <c r="G380" s="149">
        <v>4.7</v>
      </c>
      <c r="H380" s="107">
        <v>1</v>
      </c>
      <c r="I380" s="108"/>
      <c r="J380" s="108"/>
      <c r="K380" s="108"/>
      <c r="L380" s="165">
        <v>0.20130000000000001</v>
      </c>
      <c r="M380" s="120">
        <v>1.4</v>
      </c>
      <c r="N380" s="120">
        <v>1.68</v>
      </c>
      <c r="O380" s="120">
        <v>2.23</v>
      </c>
      <c r="P380" s="121">
        <v>2.57</v>
      </c>
      <c r="Q380" s="122">
        <v>21</v>
      </c>
      <c r="R380" s="143">
        <f>(Q380/12*2*$E380*$G380*((1-$L380)+$L380*$M380*$R$11*$H380))+(Q380/12*10*$F380*$G380*((1-$L380)+$L380*$M380*$R$11*$H380))</f>
        <v>3192204.7887891</v>
      </c>
      <c r="S380" s="124"/>
      <c r="T380" s="144">
        <f>(S380/12*2*$E380*$G380*((1-$L380)+$L380*$M380*$R$11*$H380))+(S380/12*10*$F380*$G380*((1-$L380)+$L380*$M380*$R$11*$H380))</f>
        <v>0</v>
      </c>
      <c r="U380" s="123"/>
      <c r="V380" s="143">
        <f>(U380/12*2*$E380*$G380*((1-$L380)+$L380*$M380*V$11*$H380))+(U380/12*10*$F380*$G380*((1-$L380)+$L380*$M380*V$12*$H380))</f>
        <v>0</v>
      </c>
      <c r="W380" s="123"/>
      <c r="X380" s="143">
        <f>(W380/12*2*$E380*$G380*((1-$L380)+$L380*$M380*$X$11*$H380))+(W380/12*10*$F380*$G380*((1-$L380)+$L380*$M380*$X$12*$H380))</f>
        <v>0</v>
      </c>
      <c r="Y380" s="123"/>
      <c r="Z380" s="143">
        <f>(Y380/12*2*$E380*$G380*((1-$L380)+$L380*$M380*$Z$11*$H380))+(Y380/12*10*$F380*$G380*((1-$L380)+$L380*$M380*$Z$12*$H380))</f>
        <v>0</v>
      </c>
      <c r="AA380" s="123"/>
      <c r="AB380" s="143">
        <f>(AA380/12*2*$E380*$G380*((1-$L380)+$L380*$M380*$AB$11*$H380))+(AA380/12*10*$F380*$G380*((1-$L380)+$L380*$M380*$AB$11*$H380))</f>
        <v>0</v>
      </c>
      <c r="AC380" s="123"/>
      <c r="AD380" s="123"/>
      <c r="AE380" s="123"/>
      <c r="AF380" s="143">
        <f>(AE380/12*2*$E380*$G380*((1-$L380)+$L380*$M380*AF$11*$H380))+(AE380/12*10*$F380*$G380*((1-$L380)+$L380*$M380*AF$11*$H380))</f>
        <v>0</v>
      </c>
      <c r="AG380" s="135">
        <v>0</v>
      </c>
      <c r="AH380" s="145">
        <f>(AG380/12*2*$E380*$G380*((1-$L380)+$L380*$H380*AH$11*$M380))+(AG380/12*10*$F380*$G380*((1-$L380)+$L380*$H380*AH$11*$M380))</f>
        <v>0</v>
      </c>
      <c r="AI380" s="123"/>
      <c r="AJ380" s="143">
        <f>(AI380/12*2*$E380*$G380*((1-$L380)+$L380*$H380*AJ$11*$M380))+(AI380/12*5*$F380*$G380*((1-$L380)+$L380*$H380*AJ$12*$M380))+(AI380/12*5*$F380*$G380*((1-$L380)+$L380*$H380*AJ$13*$M380))</f>
        <v>0</v>
      </c>
      <c r="AK380" s="123"/>
      <c r="AL380" s="143">
        <f>(AK380/12*2*$E380*$G380*((1-$L380)+$L380*$H380*AL$11*$N380))+(AK380/12*4*$F380*$G380*((1-$L380)+$L380*$H380*AL$12*$N380))+(AK380/12*6*$F380*$G380*((1-$L380)+$L380*$H380*AL$13*$N380))</f>
        <v>0</v>
      </c>
      <c r="AM380" s="132"/>
      <c r="AN380" s="143">
        <f>(AM380/12*2*$E380*$G380*((1-$L380)+$L380*$N380*$AN$11*H380))+(AM380/12*10*$F380*$G380*((1-$L380)+$L380*$N380*$AN$12*H380))</f>
        <v>0</v>
      </c>
      <c r="AO380" s="130"/>
      <c r="AP380" s="143">
        <f>(AO380/12*2*$E380*$G380*((1-$L380)+$L380*$H380*AP$11*$N380))+(AO380/12*10*$F380*$G380*((1-$L380)+$L380*$H380*AP$11*$N380))</f>
        <v>0</v>
      </c>
      <c r="AQ380" s="143">
        <v>0</v>
      </c>
      <c r="AR380" s="143">
        <v>0</v>
      </c>
      <c r="AS380" s="123"/>
      <c r="AT380" s="123"/>
      <c r="AU380" s="123"/>
      <c r="AV380" s="123"/>
      <c r="AW380" s="123"/>
      <c r="AX380" s="143">
        <f>(AW380/12*2*$E380*$G380*((1-$L380)+$L380*$H380*AX$11*$M380))+(AW380/12*10*$F380*$G380*((1-$L380)+$L380*$H380*AX$12*$M380))</f>
        <v>0</v>
      </c>
      <c r="AY380" s="123">
        <v>2</v>
      </c>
      <c r="AZ380" s="143">
        <f>(AY380/12*2*$E380*$G380*((1-$L380)+$L380*$N380*$H380*$AZ$11))+(AY380/12*10*$F380*$G380*((1-$L380)+$L380*$N380*$H380*$AZ$11))</f>
        <v>321020.76357903995</v>
      </c>
      <c r="BA380" s="123"/>
      <c r="BB380" s="143">
        <f>(BA380/12*2*$E380*$G380*((1-$L380)+$L380*$H380*BB$11*$N380))+(BA380/12*10*$F380*$G380*((1-$L380)+$L380*$H380*BB$12*$N380))</f>
        <v>0</v>
      </c>
      <c r="BC380" s="123"/>
      <c r="BD380" s="146">
        <f>(BC380/12*2*$E380*$G380*$H380*$N380*$BD$11)+(BC380/12*10*$F380*$G380*$H380*$N380*$BD$12)</f>
        <v>0</v>
      </c>
      <c r="BE380" s="123"/>
      <c r="BF380" s="143">
        <f>(BE380/12*2*$E380*$G380*((1-$L380)+$L380*$H380*BF$11*$N380))+(BE380/12*10*$F380*$G380*((1-$L380)+$L380*$H380*BF$12*$N380))</f>
        <v>0</v>
      </c>
      <c r="BG380" s="123"/>
      <c r="BH380" s="143">
        <f>(BG380/12*2*$E380*$G380*((1-$L380)+$L380*$H380*BH$11*$N380))+(BG380/12*10*$F380*$G380*((1-$L380)+$L380*$H380*BH$11*$N380))</f>
        <v>0</v>
      </c>
      <c r="BI380" s="123"/>
      <c r="BJ380" s="143">
        <f>(BI380/12*2*$E380*$G380*((1-$L380)+$L380*$H380*BJ$11*$N380))+(BI380/12*10*$F380*$G380*((1-$L380)+$L380*$H380*BJ$11*$N380))</f>
        <v>0</v>
      </c>
      <c r="BK380" s="123"/>
      <c r="BL380" s="143">
        <f>(BK380/12*2*$E380*$G380*((1-$L380)+$L380*$H380*BL$11*$N380))+(BK380/12*10*$F380*$G380*((1-$L380)+$L380*$H380*BL$11*$N380))</f>
        <v>0</v>
      </c>
      <c r="BM380" s="123"/>
      <c r="BN380" s="143">
        <f>(BM380/12*2*$E380*$G380*((1-$L380)+$L380*$H380*BN$11*$M380))+(BM380/12*10*$F380*$G380*((1-$L380)+$L380*$H380*BN$11*$M380))</f>
        <v>0</v>
      </c>
      <c r="BO380" s="123"/>
      <c r="BP380" s="143">
        <f>(BO380/12*2*$E380*$G380*((1-$L380)+$L380*$H380*BP$11*$M380))+(BO380/12*10*$F380*$G380*((1-$L380)+$L380*$H380*BP$12*$M380))</f>
        <v>0</v>
      </c>
      <c r="BQ380" s="123"/>
      <c r="BR380" s="123"/>
      <c r="BS380" s="123"/>
      <c r="BT380" s="143">
        <f>(BS380/12*2*$E380*$G380*((1-$L380)+$L380*$H380*BT$11*$N380))+(BS380/12*10*$F380*$G380*((1-$L380)+$L380*$H380*BT$11*$N380))</f>
        <v>0</v>
      </c>
      <c r="BU380" s="123"/>
      <c r="BV380" s="123"/>
      <c r="BW380" s="123"/>
      <c r="BX380" s="143">
        <f>(BW380/12*2*$E380*$G380*((1-$L380)+$L380*$H380*BX$11*$M380))+(BW380/12*10*$F380*$G380*((1-$L380)+$L380*$H380*BX$11*$M380))</f>
        <v>0</v>
      </c>
      <c r="BY380" s="123"/>
      <c r="BZ380" s="143">
        <f>(BY380/12*2*$E380*$G380*((1-$L380)+$L380*$H380*BZ$11*$M380))+(BY380/12*10*$F380*$G380*((1-$L380)+$L380*$H380*BZ$11*$M380))</f>
        <v>0</v>
      </c>
      <c r="CA380" s="123"/>
      <c r="CB380" s="143">
        <f>(CA380/12*2*$E380*$G380*((1-$L380)+$L380*$H380*CB$11*$M380))+(CA380/12*10*$F380*$G380*((1-$L380)+$L380*$H380*CB$11*$M380))</f>
        <v>0</v>
      </c>
      <c r="CC380" s="123"/>
      <c r="CD380" s="146">
        <f>(CC380/12*2*$E380*$G380*((1-$L380)+$L380*$M380*$CD$11*$H380))+(CC380/12*10*$F380*$G380*((1-$L380)+$L380*$M380*$CD$11*$H380))</f>
        <v>0</v>
      </c>
      <c r="CE380" s="123"/>
      <c r="CF380" s="143">
        <f>(CE380/12*10*$F380*$G380*((1-$L380)+$L380*$H380*CF$11*$N380))</f>
        <v>0</v>
      </c>
      <c r="CG380" s="132"/>
      <c r="CH380" s="143">
        <f>(CG380/12*2*$E380*$G380*((1-$L380)+$L380*$H380*CH$11*$N380))+(CG380/12*10*$F380*$G380*((1-$L380)+$L380*$H380*CH$11*$N380))</f>
        <v>0</v>
      </c>
      <c r="CI380" s="123"/>
      <c r="CJ380" s="127"/>
      <c r="CK380" s="123"/>
      <c r="CL380" s="123"/>
      <c r="CM380" s="130"/>
      <c r="CN380" s="143">
        <f>((CM380/12*2*$E380*$G380*((1-$L380)+$L380*$H380*CN$11*$N380)))+((CM380/12*10*$F380*$G380*((1-$L380)+$L380*$H380*CN$11*$N380)))</f>
        <v>0</v>
      </c>
      <c r="CO380" s="123"/>
      <c r="CP380" s="143">
        <f>(CO380/12*2*$E380*$G380*((1-$L380)+$L380*$H380*CP$11*$N380))+(CO380/12*10*$F380*$G380*((1-$L380)+$L380*$H380*CP$11*$N380))</f>
        <v>0</v>
      </c>
      <c r="CQ380" s="123"/>
      <c r="CR380" s="143">
        <f>(CQ380/12*2*$E380*$G380*((1-$L380)+$L380*$H380*CR$11*$O380))+(CQ380/12*10*$F380*$G380*((1-$L380)+$L380*$H380*CR$11*$O380))</f>
        <v>0</v>
      </c>
      <c r="CS380" s="123"/>
      <c r="CT380" s="143">
        <f>(CS380/12*2*$E380*$G380*((1-$L380)+$L380*$H380*CT$11*$P380))+(CS380/12*10*$F380*$G380*((1-$L380)+$L380*$H380*CT$11*$P380))</f>
        <v>0</v>
      </c>
      <c r="CU380" s="127"/>
      <c r="CV380" s="127"/>
      <c r="CW380" s="126">
        <f t="shared" si="519"/>
        <v>23</v>
      </c>
      <c r="CX380" s="126">
        <f t="shared" si="519"/>
        <v>3513225.5523681398</v>
      </c>
    </row>
    <row r="381" spans="1:102" ht="15.75" customHeight="1" x14ac:dyDescent="0.25">
      <c r="A381" s="109">
        <v>31</v>
      </c>
      <c r="B381" s="150"/>
      <c r="C381" s="93" t="s">
        <v>880</v>
      </c>
      <c r="D381" s="164" t="s">
        <v>881</v>
      </c>
      <c r="E381" s="95">
        <v>28004</v>
      </c>
      <c r="F381" s="96">
        <v>29405</v>
      </c>
      <c r="G381" s="226">
        <v>0.9</v>
      </c>
      <c r="H381" s="166"/>
      <c r="I381" s="108"/>
      <c r="J381" s="108"/>
      <c r="K381" s="108"/>
      <c r="L381" s="111"/>
      <c r="M381" s="112">
        <v>1.4</v>
      </c>
      <c r="N381" s="112">
        <v>1.68</v>
      </c>
      <c r="O381" s="112">
        <v>2.23</v>
      </c>
      <c r="P381" s="113">
        <v>2.57</v>
      </c>
      <c r="Q381" s="103">
        <f>SUM(Q382:Q400)</f>
        <v>841</v>
      </c>
      <c r="R381" s="104">
        <f>SUM(R382:R400)</f>
        <v>33086336.075788334</v>
      </c>
      <c r="S381" s="114">
        <f t="shared" ref="S381:CD381" si="522">SUM(S382:S400)</f>
        <v>468</v>
      </c>
      <c r="T381" s="115">
        <f t="shared" si="522"/>
        <v>27842603.278233338</v>
      </c>
      <c r="U381" s="104">
        <f t="shared" si="522"/>
        <v>588</v>
      </c>
      <c r="V381" s="104">
        <f t="shared" si="522"/>
        <v>24541349.209638335</v>
      </c>
      <c r="W381" s="104">
        <f t="shared" si="522"/>
        <v>0</v>
      </c>
      <c r="X381" s="104">
        <f t="shared" si="522"/>
        <v>0</v>
      </c>
      <c r="Y381" s="104">
        <f t="shared" si="522"/>
        <v>210</v>
      </c>
      <c r="Z381" s="104">
        <f t="shared" si="522"/>
        <v>14655530.280078333</v>
      </c>
      <c r="AA381" s="104">
        <f t="shared" si="522"/>
        <v>0</v>
      </c>
      <c r="AB381" s="104">
        <f t="shared" si="522"/>
        <v>0</v>
      </c>
      <c r="AC381" s="104">
        <f t="shared" si="522"/>
        <v>0</v>
      </c>
      <c r="AD381" s="104">
        <f t="shared" si="522"/>
        <v>0</v>
      </c>
      <c r="AE381" s="104">
        <f t="shared" si="522"/>
        <v>30</v>
      </c>
      <c r="AF381" s="105">
        <f t="shared" si="522"/>
        <v>1567792.1304733334</v>
      </c>
      <c r="AG381" s="104">
        <f t="shared" si="522"/>
        <v>325</v>
      </c>
      <c r="AH381" s="104">
        <f t="shared" si="522"/>
        <v>9514281.9343600012</v>
      </c>
      <c r="AI381" s="106">
        <f t="shared" si="522"/>
        <v>356</v>
      </c>
      <c r="AJ381" s="104">
        <f t="shared" si="522"/>
        <v>15274166.517399998</v>
      </c>
      <c r="AK381" s="104">
        <f t="shared" si="522"/>
        <v>1120</v>
      </c>
      <c r="AL381" s="104">
        <f t="shared" si="522"/>
        <v>43558940.319867</v>
      </c>
      <c r="AM381" s="104">
        <f t="shared" si="522"/>
        <v>211</v>
      </c>
      <c r="AN381" s="104">
        <f t="shared" si="522"/>
        <v>15533504.820147999</v>
      </c>
      <c r="AO381" s="106">
        <f t="shared" si="522"/>
        <v>20</v>
      </c>
      <c r="AP381" s="104">
        <f t="shared" si="522"/>
        <v>704333.46824399999</v>
      </c>
      <c r="AQ381" s="104">
        <v>20</v>
      </c>
      <c r="AR381" s="104">
        <v>588935.54999999993</v>
      </c>
      <c r="AS381" s="104">
        <f t="shared" si="522"/>
        <v>0</v>
      </c>
      <c r="AT381" s="104">
        <f t="shared" si="522"/>
        <v>0</v>
      </c>
      <c r="AU381" s="104">
        <f t="shared" si="522"/>
        <v>0</v>
      </c>
      <c r="AV381" s="104">
        <f t="shared" si="522"/>
        <v>0</v>
      </c>
      <c r="AW381" s="104">
        <f t="shared" si="522"/>
        <v>131</v>
      </c>
      <c r="AX381" s="104">
        <f t="shared" si="522"/>
        <v>3868533.7879066672</v>
      </c>
      <c r="AY381" s="104">
        <f t="shared" si="522"/>
        <v>611</v>
      </c>
      <c r="AZ381" s="104">
        <f t="shared" si="522"/>
        <v>21528686.982473996</v>
      </c>
      <c r="BA381" s="104">
        <f t="shared" si="522"/>
        <v>7</v>
      </c>
      <c r="BB381" s="104">
        <f t="shared" si="522"/>
        <v>223700.45655999999</v>
      </c>
      <c r="BC381" s="104">
        <f t="shared" si="522"/>
        <v>0</v>
      </c>
      <c r="BD381" s="104">
        <f t="shared" si="522"/>
        <v>0</v>
      </c>
      <c r="BE381" s="104">
        <f t="shared" si="522"/>
        <v>129</v>
      </c>
      <c r="BF381" s="104">
        <f t="shared" si="522"/>
        <v>3415131.9860000005</v>
      </c>
      <c r="BG381" s="104">
        <f t="shared" si="522"/>
        <v>57</v>
      </c>
      <c r="BH381" s="104">
        <f t="shared" si="522"/>
        <v>1436425.1961359999</v>
      </c>
      <c r="BI381" s="104">
        <f t="shared" si="522"/>
        <v>191</v>
      </c>
      <c r="BJ381" s="104">
        <f t="shared" si="522"/>
        <v>6317808.1413439997</v>
      </c>
      <c r="BK381" s="104">
        <f t="shared" si="522"/>
        <v>200</v>
      </c>
      <c r="BL381" s="104">
        <f t="shared" si="522"/>
        <v>8310209.970999998</v>
      </c>
      <c r="BM381" s="104">
        <f t="shared" si="522"/>
        <v>0</v>
      </c>
      <c r="BN381" s="104">
        <f t="shared" si="522"/>
        <v>0</v>
      </c>
      <c r="BO381" s="104">
        <f t="shared" si="522"/>
        <v>3</v>
      </c>
      <c r="BP381" s="104">
        <f t="shared" si="522"/>
        <v>79893.020199999984</v>
      </c>
      <c r="BQ381" s="104">
        <f t="shared" si="522"/>
        <v>29</v>
      </c>
      <c r="BR381" s="104">
        <f t="shared" si="522"/>
        <v>1814358.2477999998</v>
      </c>
      <c r="BS381" s="104">
        <f t="shared" si="522"/>
        <v>103</v>
      </c>
      <c r="BT381" s="104">
        <f t="shared" si="522"/>
        <v>3517879.78682</v>
      </c>
      <c r="BU381" s="104">
        <f t="shared" si="522"/>
        <v>37</v>
      </c>
      <c r="BV381" s="104">
        <f t="shared" si="522"/>
        <v>985347.24913333333</v>
      </c>
      <c r="BW381" s="104">
        <f t="shared" si="522"/>
        <v>0</v>
      </c>
      <c r="BX381" s="104">
        <f t="shared" si="522"/>
        <v>0</v>
      </c>
      <c r="BY381" s="104">
        <f t="shared" si="522"/>
        <v>231</v>
      </c>
      <c r="BZ381" s="104">
        <f t="shared" si="522"/>
        <v>5777452.5251333332</v>
      </c>
      <c r="CA381" s="104">
        <f t="shared" si="522"/>
        <v>103</v>
      </c>
      <c r="CB381" s="104">
        <f t="shared" si="522"/>
        <v>3149096.1132399999</v>
      </c>
      <c r="CC381" s="104">
        <f t="shared" si="522"/>
        <v>297</v>
      </c>
      <c r="CD381" s="104">
        <f t="shared" si="522"/>
        <v>8412354.1600000001</v>
      </c>
      <c r="CE381" s="104">
        <f t="shared" ref="CE381:CX381" si="523">SUM(CE382:CE400)</f>
        <v>275</v>
      </c>
      <c r="CF381" s="104">
        <f t="shared" si="523"/>
        <v>7461107.0800000001</v>
      </c>
      <c r="CG381" s="104">
        <f t="shared" si="523"/>
        <v>40</v>
      </c>
      <c r="CH381" s="104">
        <f t="shared" si="523"/>
        <v>922234.80215999996</v>
      </c>
      <c r="CI381" s="104">
        <f t="shared" si="523"/>
        <v>0</v>
      </c>
      <c r="CJ381" s="104">
        <f t="shared" si="523"/>
        <v>0</v>
      </c>
      <c r="CK381" s="104">
        <f t="shared" si="523"/>
        <v>0</v>
      </c>
      <c r="CL381" s="104">
        <f t="shared" si="523"/>
        <v>0</v>
      </c>
      <c r="CM381" s="104">
        <f t="shared" si="523"/>
        <v>53</v>
      </c>
      <c r="CN381" s="104">
        <f t="shared" si="523"/>
        <v>1245139.43512</v>
      </c>
      <c r="CO381" s="104">
        <f t="shared" si="523"/>
        <v>190</v>
      </c>
      <c r="CP381" s="104">
        <f t="shared" si="523"/>
        <v>1268501.1400000004</v>
      </c>
      <c r="CQ381" s="104">
        <f t="shared" si="523"/>
        <v>50</v>
      </c>
      <c r="CR381" s="104">
        <f t="shared" si="523"/>
        <v>1616006.6369333335</v>
      </c>
      <c r="CS381" s="104">
        <f t="shared" si="523"/>
        <v>65</v>
      </c>
      <c r="CT381" s="104">
        <f t="shared" si="523"/>
        <v>3085430.0944899996</v>
      </c>
      <c r="CU381" s="104">
        <f t="shared" si="523"/>
        <v>0</v>
      </c>
      <c r="CV381" s="104">
        <f t="shared" si="523"/>
        <v>0</v>
      </c>
      <c r="CW381" s="104">
        <f t="shared" si="523"/>
        <v>6991</v>
      </c>
      <c r="CX381" s="104">
        <f t="shared" si="523"/>
        <v>271303070.39668131</v>
      </c>
    </row>
    <row r="382" spans="1:102" ht="30" customHeight="1" x14ac:dyDescent="0.25">
      <c r="A382" s="91"/>
      <c r="B382" s="116">
        <v>309</v>
      </c>
      <c r="C382" s="117" t="s">
        <v>882</v>
      </c>
      <c r="D382" s="161" t="s">
        <v>883</v>
      </c>
      <c r="E382" s="95">
        <v>28004</v>
      </c>
      <c r="F382" s="96">
        <v>29405</v>
      </c>
      <c r="G382" s="119">
        <v>0.61</v>
      </c>
      <c r="H382" s="107">
        <v>1</v>
      </c>
      <c r="I382" s="108"/>
      <c r="J382" s="108"/>
      <c r="K382" s="108"/>
      <c r="L382" s="63"/>
      <c r="M382" s="120">
        <v>1.4</v>
      </c>
      <c r="N382" s="120">
        <v>1.68</v>
      </c>
      <c r="O382" s="120">
        <v>2.23</v>
      </c>
      <c r="P382" s="121">
        <v>2.57</v>
      </c>
      <c r="Q382" s="204">
        <v>12</v>
      </c>
      <c r="R382" s="123">
        <f>(Q382/12*2*$E382*$G382*$H382*$M382*$R$11)+(Q382/12*10*$F382*$G382*$H382*$M382*$R$11)</f>
        <v>328844.4852</v>
      </c>
      <c r="S382" s="124">
        <v>3</v>
      </c>
      <c r="T382" s="125">
        <f>(S382/12*2*$E382*$G382*$H382*$M382*$R$11)+(S382/12*10*$F382*$G382*$H382*$M382*$R$11)</f>
        <v>82211.121299999999</v>
      </c>
      <c r="U382" s="123">
        <v>193</v>
      </c>
      <c r="V382" s="123">
        <f>(U382/12*2*$E382*$G382*$H382*$M382*$V$11)+(U382/12*10*$F382*$G382*$H382*$M382*$V$12)</f>
        <v>6448629.1591166658</v>
      </c>
      <c r="W382" s="123"/>
      <c r="X382" s="126">
        <f>(W382/12*2*$E382*$G382*$H382*$M382*$X$11)+(W382/12*10*$F382*$G382*$H382*$M382*$X$12)</f>
        <v>0</v>
      </c>
      <c r="Y382" s="123"/>
      <c r="Z382" s="123">
        <f>(Y382/12*2*$E382*$G382*$H382*$M382*$Z$11)+(Y382/12*10*$F382*$G382*$H382*$M382*$Z$12)</f>
        <v>0</v>
      </c>
      <c r="AA382" s="123"/>
      <c r="AB382" s="123">
        <f>(AA382/12*2*$E382*$G382*$H382*$M382*$AB$11)+(AA382/12*10*$F382*$G382*$H382*$M382*$AB$11)</f>
        <v>0</v>
      </c>
      <c r="AC382" s="123"/>
      <c r="AD382" s="123"/>
      <c r="AE382" s="123"/>
      <c r="AF382" s="127">
        <f>(AE382/12*2*$E382*$G382*$H382*$M382*$AF$11)+(AE382/12*10*$F382*$G382*$H382*$M382*$AF$11)</f>
        <v>0</v>
      </c>
      <c r="AG382" s="123">
        <v>10</v>
      </c>
      <c r="AH382" s="126">
        <f>(AG382/12*2*$E382*$G382*$H382*$M382*$AH$11)+(AG382/12*10*$F382*$G382*$H382*$M382*$AH$11)</f>
        <v>274037.071</v>
      </c>
      <c r="AI382" s="130"/>
      <c r="AJ382" s="123">
        <f>(AI382/12*2*$E382*$G382*$H382*$M382*$AJ$11)+(AI382/12*5*$F382*$G382*$H382*$M382*$AJ$12)+(AI382/12*5*$F382*$G382*$H382*$M382*$AJ$13)</f>
        <v>0</v>
      </c>
      <c r="AK382" s="123">
        <v>150</v>
      </c>
      <c r="AL382" s="123">
        <f>(AK382/12*2*$E382*$G382*$H382*$N382*$AL$11)+(AK382/12*5*$F382*$G382*$H382*$N382*$AL$12)++(AK382/12*5*$F382*$G382*$H382*$N382*$AL$13)</f>
        <v>5791848.0690000001</v>
      </c>
      <c r="AM382" s="129"/>
      <c r="AN382" s="123">
        <f>(AM382/12*2*$E382*$G382*$H382*$N382*$AN$11)+(AM382/12*10*$F382*$G382*$H382*$N382*$AN$12)</f>
        <v>0</v>
      </c>
      <c r="AO382" s="130">
        <v>2</v>
      </c>
      <c r="AP382" s="127">
        <f>(AO382/12*2*$E382*$G382*$H382*$N382*$AP$11)+(AO382/12*10*$F382*$G382*$H382*$N382*$AP$11)</f>
        <v>65768.897039999996</v>
      </c>
      <c r="AQ382" s="127">
        <v>0</v>
      </c>
      <c r="AR382" s="127">
        <v>0</v>
      </c>
      <c r="AS382" s="123"/>
      <c r="AT382" s="123">
        <f>(AS382/12*2*$E382*$G382*$H382*$M382*$AT$11)+(AS382/12*10*$F382*$G382*$H382*$M382*$AT$11)</f>
        <v>0</v>
      </c>
      <c r="AU382" s="123"/>
      <c r="AV382" s="126">
        <f>(AU382/12*2*$E382*$G382*$H382*$M382*$AV$11)+(AU382/12*10*$F382*$G382*$H382*$M382*$AV$12)</f>
        <v>0</v>
      </c>
      <c r="AW382" s="123">
        <v>10</v>
      </c>
      <c r="AX382" s="123">
        <f>(AW382/12*2*$E382*$G382*$H382*$M382*$AX$11)+(AW382/12*10*$F382*$G382*$H382*$M382*$AX$12)</f>
        <v>286393.59699999995</v>
      </c>
      <c r="AY382" s="131">
        <v>9</v>
      </c>
      <c r="AZ382" s="123">
        <f>(AY382/12*2*$E382*$G382*$H382*$N382*$AZ$11)+(AY382/12*10*$F382*$G382*$H382*$N382*$AZ$11)</f>
        <v>295960.03668000002</v>
      </c>
      <c r="BA382" s="123"/>
      <c r="BB382" s="123">
        <f>(BA382/12*2*$E382*$G382*$H382*$N382*$BB$11)+(BA382/12*10*$F382*$G382*$H382*$N382*$BB$12)</f>
        <v>0</v>
      </c>
      <c r="BC382" s="123"/>
      <c r="BD382" s="126">
        <f>(BC382/12*2*$E382*$G382*$H382*$N382*$BD$11)+(BC382/12*10*$F382*$G382*$H382*$N382*$BD$12)</f>
        <v>0</v>
      </c>
      <c r="BE382" s="123">
        <v>24</v>
      </c>
      <c r="BF382" s="123">
        <f>(BE382/12*10*$F382*$G382*$H382*$N382*$BF$12)</f>
        <v>602684.88</v>
      </c>
      <c r="BG382" s="123">
        <v>5</v>
      </c>
      <c r="BH382" s="123">
        <f>(BG382/12*2*$E382*$G382*$H382*$N382*$BH$11)+(BG382/12*10*$F382*$G382*$H382*$N382*$BH$11)</f>
        <v>134527.28940000001</v>
      </c>
      <c r="BI382" s="123">
        <v>14</v>
      </c>
      <c r="BJ382" s="126">
        <f>(BI382/12*2*$E382*$G382*$H382*$N382*$BJ$11)+(BI382/12*10*$F382*$G382*$H382*$N382*$BJ$11)</f>
        <v>502235.21375999996</v>
      </c>
      <c r="BK382" s="123">
        <v>35</v>
      </c>
      <c r="BL382" s="127">
        <f>(BK382/12*2*$E382*$G382*$H382*$N382*$BL$11)+(BK382/12*10*$F382*$G382*$H382*$N382*$BL$11)</f>
        <v>1255588.0343999998</v>
      </c>
      <c r="BM382" s="123"/>
      <c r="BN382" s="123">
        <f>(BM382/12*2*$E382*$G382*$H382*$M382*$BN$11)+(BM382/12*10*$F382*$G382*$H382*$M382*$BN$11)</f>
        <v>0</v>
      </c>
      <c r="BO382" s="123"/>
      <c r="BP382" s="123">
        <f>(BO382/12*2*$E382*$G382*$H382*$M382*$BP$11)+(BO382/12*10*$F382*$G382*$H382*$M382*$BP$12)</f>
        <v>0</v>
      </c>
      <c r="BQ382" s="123"/>
      <c r="BR382" s="123">
        <f>(BQ382/12*2*$E382*$G382*$H382*$M382*$BR$11)+(BQ382/12*10*$F382*$G382*$H382*$M382*$BR$11)</f>
        <v>0</v>
      </c>
      <c r="BS382" s="123"/>
      <c r="BT382" s="123">
        <f>(BS382/12*2*$E382*$G382*$H382*$N382*$BT$11)+(BS382/12*10*$F382*$G382*$H382*$N382*$BT$11)</f>
        <v>0</v>
      </c>
      <c r="BU382" s="123"/>
      <c r="BV382" s="126">
        <f>(BU382/12*2*$E382*$G382*$H382*$M382*$BV$11)+(BU382/12*10*$F382*$G382*$H382*$M382*$BV$11)</f>
        <v>0</v>
      </c>
      <c r="BW382" s="123"/>
      <c r="BX382" s="123">
        <f>(BW382/12*2*$E382*$G382*$H382*$M382*$BX$11)+(BW382/12*10*$F382*$G382*$H382*$M382*$BX$11)</f>
        <v>0</v>
      </c>
      <c r="BY382" s="123">
        <v>60</v>
      </c>
      <c r="BZ382" s="123">
        <f>(BY382/12*2*$E382*$G382*$H382*$M382*$BZ$11)+(BY382/12*10*$F382*$G382*$H382*$M382*$BZ$11)</f>
        <v>1494747.66</v>
      </c>
      <c r="CA382" s="123">
        <v>14</v>
      </c>
      <c r="CB382" s="123">
        <f>(CA382/12*2*$E382*$G382*$H382*$M382*$CB$11)+(CA382/12*10*$F382*$G382*$H382*$M382*$CB$11)</f>
        <v>418529.34479999996</v>
      </c>
      <c r="CC382" s="123">
        <v>41</v>
      </c>
      <c r="CD382" s="123">
        <f>(CC382/12*2*$E382*$G382*$H382*$M382*$CD$11)+(CC382/12*10*$F382*$G382*$H382*$M382*$CD$11)</f>
        <v>1021410.9009999998</v>
      </c>
      <c r="CE382" s="123"/>
      <c r="CF382" s="123">
        <f>(CE382/12*10*$F382*$G382*$H382*$N382*$CF$11)</f>
        <v>0</v>
      </c>
      <c r="CG382" s="132"/>
      <c r="CH382" s="123">
        <f>(CG382/12*2*$E382*$G382*$H382*$N382*$CH$11)+(CG382/12*10*$F382*$G382*$H382*$N382*$CH$11)</f>
        <v>0</v>
      </c>
      <c r="CI382" s="123"/>
      <c r="CJ382" s="127"/>
      <c r="CK382" s="123"/>
      <c r="CL382" s="123">
        <f>(CK382/12*2*$E382*$G382*$H382*$N382*$CL$11)+(CK382/12*10*$F382*$G382*$H382*$N382*$CL$12)</f>
        <v>0</v>
      </c>
      <c r="CM382" s="130">
        <v>2</v>
      </c>
      <c r="CN382" s="123">
        <f>(CM382/12*2*$E382*$G382*$H382*$N382*$CN$11)+(CM382/12*10*$F382*$G382*$H382*$N382*$CN$11)</f>
        <v>59789.906399999993</v>
      </c>
      <c r="CO382" s="123">
        <v>3</v>
      </c>
      <c r="CP382" s="123">
        <v>58832.740000000005</v>
      </c>
      <c r="CQ382" s="123"/>
      <c r="CR382" s="123">
        <f>(CQ382/12*2*$E382*$G382*$H382*$O382*$CR$11)+(CQ382/12*10*$F382*$G382*$H382*$O382*$CR$11)</f>
        <v>0</v>
      </c>
      <c r="CS382" s="123">
        <v>2</v>
      </c>
      <c r="CT382" s="133">
        <f>(CS382/12*2*$E382*$G382*$H382*$P382*$CT$11)+(CS382/12*10*$F382*$G382*$H382*$P382*$CT$11)</f>
        <v>91464.321099999986</v>
      </c>
      <c r="CU382" s="127"/>
      <c r="CV382" s="123">
        <f>(CU382*$E382*$G382*$H382*$M382*CV$11)/12*6+(CU382*$E382*$G382*$H382*1*CV$11)/12*6</f>
        <v>0</v>
      </c>
      <c r="CW382" s="126">
        <f>SUM(Q382,S382,U382,W382,Y382,AA382,AC382,AE382,AG382,AM382,BQ382,AI382,AU382,CC382,AW382,AY382,AK382,BC382,AO382,AQ382,BE382,CE382,BG382,BI382,BK382,BS382,BM382,BO382,BU382,BW382,BY382,CA382,CG382,BA382,AS382,CI382,CK382,CM382,CO382,CQ382,CS382,CU382)</f>
        <v>589</v>
      </c>
      <c r="CX382" s="126">
        <f>SUM(R382,T382,V382,X382,Z382,AB382,AD382,AF382,AH382,AN382,BR382,AJ382,AV382,CD382,AX382,AZ382,AL382,BD382,AP382,AR382,BF382,CF382,BH382,BJ382,BL382,BT382,BN382,BP382,BV382,BX382,BZ382,CB382,CH382,BB382,AT382,CJ382,CL382,CN382,CP382,CR382,CT382,CV382)</f>
        <v>19213502.727196664</v>
      </c>
    </row>
    <row r="383" spans="1:102" ht="30" customHeight="1" x14ac:dyDescent="0.25">
      <c r="A383" s="277" t="s">
        <v>163</v>
      </c>
      <c r="B383" s="116">
        <v>310</v>
      </c>
      <c r="C383" s="117" t="s">
        <v>884</v>
      </c>
      <c r="D383" s="161" t="s">
        <v>885</v>
      </c>
      <c r="E383" s="95">
        <v>28004</v>
      </c>
      <c r="F383" s="96">
        <v>29405</v>
      </c>
      <c r="G383" s="119">
        <v>0.55000000000000004</v>
      </c>
      <c r="H383" s="110">
        <v>0.8</v>
      </c>
      <c r="I383" s="108"/>
      <c r="J383" s="108"/>
      <c r="K383" s="108"/>
      <c r="L383" s="63"/>
      <c r="M383" s="120">
        <v>1.4</v>
      </c>
      <c r="N383" s="120">
        <v>1.68</v>
      </c>
      <c r="O383" s="120">
        <v>2.23</v>
      </c>
      <c r="P383" s="121">
        <v>2.57</v>
      </c>
      <c r="Q383" s="204">
        <v>27</v>
      </c>
      <c r="R383" s="123">
        <f>(Q383/12*2*$E383*$G383*$H383*$M383)+(Q383/12*10*$F383*$G383*$H383*$M383)</f>
        <v>485180.38800000004</v>
      </c>
      <c r="S383" s="124">
        <v>18</v>
      </c>
      <c r="T383" s="125">
        <f>(S383/12*2*$E383*$G383*$H383*$M383)+(S383/12*10*$F383*$G383*$H383*$M383)</f>
        <v>323453.592</v>
      </c>
      <c r="U383" s="123"/>
      <c r="V383" s="123">
        <f>(U383/12*2*$E383*$G383*$H383*$M383)+(U383/12*10*$F383*$G383*$H383*$M383)</f>
        <v>0</v>
      </c>
      <c r="W383" s="123"/>
      <c r="X383" s="123">
        <f>(W383/12*2*$E383*$G383*$H383*$M383)+(W383/12*10*$F383*$G383*$H383*$M383)</f>
        <v>0</v>
      </c>
      <c r="Y383" s="123">
        <v>6</v>
      </c>
      <c r="Z383" s="123">
        <f>(Y383/12*2*$E383*$G383*$H383*$M383)+(Y383/12*10*$F383*$G383*$H383*$M383)</f>
        <v>107817.864</v>
      </c>
      <c r="AA383" s="123"/>
      <c r="AB383" s="123">
        <f>(AA383/12*2*$E383*$G383*$H383*$M383)+(AA383/12*10*$F383*$G383*$H383*$M383)</f>
        <v>0</v>
      </c>
      <c r="AC383" s="123"/>
      <c r="AD383" s="123"/>
      <c r="AE383" s="123"/>
      <c r="AF383" s="127">
        <f>(AE383/12*2*$E383*$G383*$H383*$M383)+(AE383/12*10*$F383*$G383*$H383*$M383)</f>
        <v>0</v>
      </c>
      <c r="AG383" s="123">
        <v>2</v>
      </c>
      <c r="AH383" s="123">
        <f>(AG383/12*2*$E383*$G383*$H383*$M383)+(AG383/12*10*$F383*$G383*$H383*$M383)</f>
        <v>35939.288</v>
      </c>
      <c r="AI383" s="130"/>
      <c r="AJ383" s="123">
        <f>(AI383/12*2*$E383*$G383*$H383*$M383)+(AI383/12*10*$F383*$G383*$H383*$M383)</f>
        <v>0</v>
      </c>
      <c r="AK383" s="123">
        <v>100</v>
      </c>
      <c r="AL383" s="126">
        <f>(AK383/12*2*$E383*$G383*$H383*$N383)+(AK383/12*10*$F383*$G383*$H383*$N383)</f>
        <v>2156357.2800000007</v>
      </c>
      <c r="AM383" s="132"/>
      <c r="AN383" s="123">
        <f>(AM383/12*2*$E383*$G383*$H383*$N383)+(AM383/12*10*$F383*$G383*$H383*$N383)</f>
        <v>0</v>
      </c>
      <c r="AO383" s="130">
        <v>2</v>
      </c>
      <c r="AP383" s="123">
        <f>(AO383/12*2*$E383*$G383*$H383*$N383)+(AO383/12*10*$F383*$G383*$H383*$N383)</f>
        <v>43127.145599999996</v>
      </c>
      <c r="AQ383" s="123">
        <v>1</v>
      </c>
      <c r="AR383" s="123">
        <v>21736.18</v>
      </c>
      <c r="AS383" s="123"/>
      <c r="AT383" s="123"/>
      <c r="AU383" s="123"/>
      <c r="AV383" s="123"/>
      <c r="AW383" s="123">
        <v>11</v>
      </c>
      <c r="AX383" s="123">
        <f>(AW383/12*2*$E383*$G383*$H383*$M383)+(AW383/12*10*$F383*$G383*$H383*$M383)</f>
        <v>197666.084</v>
      </c>
      <c r="AY383" s="123">
        <v>25</v>
      </c>
      <c r="AZ383" s="123">
        <f>(AY383/12*2*$E383*$G383*$H383*$N383)+(AY383/12*10*$F383*$G383*$H383*$N383)</f>
        <v>539089.32000000018</v>
      </c>
      <c r="BA383" s="123"/>
      <c r="BB383" s="123">
        <f>(BA383/12*2*$E383*$G383*$H383*$N383)+(BA383/12*10*$F383*$G383*$H383*$N383)</f>
        <v>0</v>
      </c>
      <c r="BC383" s="123"/>
      <c r="BD383" s="123">
        <f>(BC383/12*2*$E383*$G383*$H383*$N383)+(BC383/12*10*$F383*$G383*$H383*$N383)</f>
        <v>0</v>
      </c>
      <c r="BE383" s="123">
        <v>10</v>
      </c>
      <c r="BF383" s="123">
        <f>(BE383/12*10*$F383*$G383*$H383*$N383)</f>
        <v>181134.80000000005</v>
      </c>
      <c r="BG383" s="123">
        <v>32</v>
      </c>
      <c r="BH383" s="123">
        <f>(BG383/12*2*$E383*$G383*$H383*$N383)+(BG383/12*10*$F383*$G383*$H383*$N383)</f>
        <v>690034.32959999994</v>
      </c>
      <c r="BI383" s="123">
        <v>55</v>
      </c>
      <c r="BJ383" s="123">
        <f>(BI383/12*2*$E383*$G383*$H383*$N383)+(BI383/12*10*$F383*$G383*$H383*$N383)</f>
        <v>1185996.504</v>
      </c>
      <c r="BK383" s="123">
        <v>7</v>
      </c>
      <c r="BL383" s="123">
        <f>(BK383/12*2*$E383*$G383*$H383*$N383)+(BK383/12*10*$F383*$G383*$H383*$N383)</f>
        <v>150945.00960000005</v>
      </c>
      <c r="BM383" s="123"/>
      <c r="BN383" s="123">
        <f>(BM383/12*2*$E383*$G383*$H383*$M383)+(BM383/12*10*$F383*$G383*$H383*$M383)</f>
        <v>0</v>
      </c>
      <c r="BO383" s="123"/>
      <c r="BP383" s="123">
        <f>(BO383/12*2*$E383*$G383*$H383*$M383)+(BO383/12*10*$F383*$G383*$H383*$M383)</f>
        <v>0</v>
      </c>
      <c r="BQ383" s="123"/>
      <c r="BR383" s="123">
        <f>(BQ383/12*2*$E383*$G383*$H383*$M383)+(BQ383/12*10*$F383*$G383*$H383*$M383)</f>
        <v>0</v>
      </c>
      <c r="BS383" s="123">
        <v>20</v>
      </c>
      <c r="BT383" s="123">
        <f>(BS383/12*2*$E383*$G383*$H383*$N383)+(BS383/12*10*$F383*$G383*$H383*$N383)</f>
        <v>431271.45600000012</v>
      </c>
      <c r="BU383" s="123"/>
      <c r="BV383" s="123">
        <f>(BU383/12*2*$E383*$G383*$H383*$M383)+(BU383/12*10*$F383*$G383*$H383*$M383)</f>
        <v>0</v>
      </c>
      <c r="BW383" s="123"/>
      <c r="BX383" s="123">
        <f>(BW383/12*2*$E383*$G383*$H383*$M383)+(BW383/12*10*$F383*$G383*$H383*$M383)</f>
        <v>0</v>
      </c>
      <c r="BY383" s="123">
        <v>10</v>
      </c>
      <c r="BZ383" s="123">
        <f>(BY383/12*2*$E383*$G383*$H383*$M383)+(BY383/12*10*$F383*$G383*$H383*$M383)</f>
        <v>179696.44000000003</v>
      </c>
      <c r="CA383" s="123">
        <v>2</v>
      </c>
      <c r="CB383" s="123">
        <f>(CA383/12*2*$E383*$G383*$H383*$M383)+(CA383/12*10*$F383*$G383*$H383*$M383)</f>
        <v>35939.288</v>
      </c>
      <c r="CC383" s="123">
        <v>10</v>
      </c>
      <c r="CD383" s="123">
        <f>(CC383/12*2*$E383*$G383*$H383*$M383)+(CC383/12*10*$F383*$G383*$H383*$M383)</f>
        <v>179696.44000000003</v>
      </c>
      <c r="CE383" s="123">
        <v>73</v>
      </c>
      <c r="CF383" s="123">
        <f>(CE383/12*10*$F383*$G383*$H383*$N383)</f>
        <v>1322284.04</v>
      </c>
      <c r="CG383" s="132">
        <v>10</v>
      </c>
      <c r="CH383" s="123">
        <f>(CG383/12*2*$E383*$G383*$H383*$N383)+(CG383/12*10*$F383*$G383*$H383*$N383)</f>
        <v>215635.72800000006</v>
      </c>
      <c r="CI383" s="123"/>
      <c r="CJ383" s="127">
        <f>(CI383*$E383*$G383*$H383*$N383)</f>
        <v>0</v>
      </c>
      <c r="CK383" s="123"/>
      <c r="CL383" s="123">
        <f>(CK383/12*2*$E383*$G383*$H383*$N383)+(CK383/12*10*$F383*$G383*$H383*$N383)</f>
        <v>0</v>
      </c>
      <c r="CM383" s="130">
        <v>3</v>
      </c>
      <c r="CN383" s="123">
        <f>(CM383/12*2*$E383*$G383*$H383*$N383)+(CM383/12*10*$F383*$G383*$H383*$N383)</f>
        <v>64690.718399999998</v>
      </c>
      <c r="CO383" s="123">
        <v>0</v>
      </c>
      <c r="CP383" s="123">
        <v>0</v>
      </c>
      <c r="CQ383" s="123">
        <v>10</v>
      </c>
      <c r="CR383" s="123">
        <f>(CQ383/12*2*$E383*$G383*$H383*$O383)+(CQ383/12*10*$F383*$G383*$H383*$O383)</f>
        <v>286230.75800000003</v>
      </c>
      <c r="CS383" s="123">
        <v>2</v>
      </c>
      <c r="CT383" s="127">
        <f>(CS383/12*2*$E383*$G383*$H383*$P383)+(CS383/12*10*$F383*$G383*$H383*$P383)</f>
        <v>65974.2644</v>
      </c>
      <c r="CU383" s="127"/>
      <c r="CV383" s="127"/>
      <c r="CW383" s="126">
        <f>SUM(Q383,S383,U383,W383,Y383,AA383,AC383,AE383,AG383,AM383,BQ383,AI383,AU383,CC383,AW383,AY383,AK383,BC383,AO383,AQ383,BE383,CE383,BG383,BI383,BK383,BS383,BM383,BO383,BU383,BW383,BY383,CA383,CG383,BA383,AS383,CI383,CK383,CM383,CO383,CQ383,CS383,CU383)</f>
        <v>436</v>
      </c>
      <c r="CX383" s="126">
        <f>SUM(R383,T383,V383,X383,Z383,AB383,AD383,AF383,AH383,AN383,BR383,AJ383,AV383,CD383,AX383,AZ383,AL383,BD383,AP383,AR383,BF383,CF383,BH383,BJ383,BL383,BT383,BN383,BP383,BV383,BX383,BZ383,CB383,CH383,BB383,AT383,CJ383,CL383,CN383,CP383,CR383,CT383,CV383)</f>
        <v>8899896.9176000003</v>
      </c>
    </row>
    <row r="384" spans="1:102" ht="30" customHeight="1" x14ac:dyDescent="0.25">
      <c r="A384" s="91"/>
      <c r="B384" s="116">
        <v>311</v>
      </c>
      <c r="C384" s="117" t="s">
        <v>886</v>
      </c>
      <c r="D384" s="161" t="s">
        <v>887</v>
      </c>
      <c r="E384" s="95">
        <v>28004</v>
      </c>
      <c r="F384" s="96">
        <v>29405</v>
      </c>
      <c r="G384" s="119">
        <v>0.71</v>
      </c>
      <c r="H384" s="110">
        <v>0.8</v>
      </c>
      <c r="I384" s="108"/>
      <c r="J384" s="108"/>
      <c r="K384" s="108"/>
      <c r="L384" s="63"/>
      <c r="M384" s="120">
        <v>1.4</v>
      </c>
      <c r="N384" s="120">
        <v>1.68</v>
      </c>
      <c r="O384" s="120">
        <v>2.23</v>
      </c>
      <c r="P384" s="121">
        <v>2.57</v>
      </c>
      <c r="Q384" s="204">
        <v>408</v>
      </c>
      <c r="R384" s="123">
        <f>(Q384/12*2*$E384*$G384*$H384*$M384*$R$11)+(Q384/12*10*$F384*$G384*$H384*$M384*$R$11)</f>
        <v>10410892.947840001</v>
      </c>
      <c r="S384" s="124">
        <v>68</v>
      </c>
      <c r="T384" s="125">
        <f>(S384/12*2*$E384*$G384*$H384*$M384*$R$11)+(S384/12*10*$F384*$G384*$H384*$M384*$R$11)</f>
        <v>1735148.8246400005</v>
      </c>
      <c r="U384" s="123">
        <v>70</v>
      </c>
      <c r="V384" s="123">
        <f>(U384/12*2*$E384*$G384*$H384*$M384*$V$11)+(U384/12*10*$F384*$G384*$H384*$M384*$V$12)</f>
        <v>2177843.3310666666</v>
      </c>
      <c r="W384" s="123"/>
      <c r="X384" s="126">
        <f>(W384/12*2*$E384*$G384*$H384*$M384*$X$11)+(W384/12*10*$F384*$G384*$H384*$M384*$X$12)</f>
        <v>0</v>
      </c>
      <c r="Y384" s="123">
        <v>7</v>
      </c>
      <c r="Z384" s="123">
        <f>(Y384/12*2*$E384*$G384*$H384*$M384*$Z$11)+(Y384/12*10*$F384*$G384*$H384*$M384*$Z$12)</f>
        <v>217784.33310666669</v>
      </c>
      <c r="AA384" s="123"/>
      <c r="AB384" s="123">
        <f>(AA384/12*2*$E384*$G384*$H384*$M384*$AB$11)+(AA384/12*10*$F384*$G384*$H384*$M384*$AB$11)</f>
        <v>0</v>
      </c>
      <c r="AC384" s="123"/>
      <c r="AD384" s="123"/>
      <c r="AE384" s="123">
        <v>10</v>
      </c>
      <c r="AF384" s="127">
        <f>(AE384/12*2*$E384*$G384*$H384*$M384*$AF$11)+(AE384/12*10*$F384*$G384*$H384*$M384*$AF$11)</f>
        <v>255168.94480000006</v>
      </c>
      <c r="AG384" s="123">
        <v>50</v>
      </c>
      <c r="AH384" s="126">
        <f>(AG384/12*2*$E384*$G384*$H384*$M384*$AH$11)+(AG384/12*10*$F384*$G384*$H384*$M384*$AH$11)</f>
        <v>1275844.7240000004</v>
      </c>
      <c r="AI384" s="130">
        <v>256</v>
      </c>
      <c r="AJ384" s="123">
        <f>(AI384/12*2*$E384*$G384*$H384*$M384*$AJ$11)+(AI384/12*5*$F384*$G384*$H384*$M384*$AJ$12)+(AI384/12*5*$F384*$G384*$H384*$M384*$AJ$13)</f>
        <v>7670137.0129066668</v>
      </c>
      <c r="AK384" s="123">
        <v>350</v>
      </c>
      <c r="AL384" s="123">
        <f>(AK384/12*2*$E384*$G384*$H384*$N384*$AL$11)+(AK384/12*5*$F384*$G384*$H384*$N384*$AL$12)++(AK384/12*5*$F384*$G384*$H384*$N384*$AL$13)</f>
        <v>12583818.536800001</v>
      </c>
      <c r="AM384" s="132">
        <f>21+1</f>
        <v>22</v>
      </c>
      <c r="AN384" s="123">
        <f>(AM384/12*2*$E384*$G384*$H384*$N384*$AN$11)+(AM384/12*10*$F384*$G384*$H384*$N384*$AN$12)</f>
        <v>821358.05628799996</v>
      </c>
      <c r="AO384" s="130">
        <v>5</v>
      </c>
      <c r="AP384" s="127">
        <f>(AO384/12*2*$E384*$G384*$H384*$N384*$AP$11)+(AO384/12*10*$F384*$G384*$H384*$N384*$AP$11)</f>
        <v>153101.36688000005</v>
      </c>
      <c r="AQ384" s="127">
        <v>6</v>
      </c>
      <c r="AR384" s="127">
        <v>182251.06</v>
      </c>
      <c r="AS384" s="123"/>
      <c r="AT384" s="123">
        <f>(AS384/12*2*$E384*$G384*$H384*$M384*$AT$11)+(AS384/12*10*$F384*$G384*$H384*$M384*$AT$11)</f>
        <v>0</v>
      </c>
      <c r="AU384" s="123"/>
      <c r="AV384" s="126">
        <f>(AU384/12*2*$E384*$G384*$H384*$M384*$AV$11)+(AU384/12*10*$F384*$G384*$H384*$M384*$AV$12)</f>
        <v>0</v>
      </c>
      <c r="AW384" s="123">
        <v>50</v>
      </c>
      <c r="AX384" s="123">
        <f>(AW384/12*2*$E384*$G384*$H384*$M384*$AX$11)+(AW384/12*10*$F384*$G384*$H384*$M384*$AX$12)</f>
        <v>1333373.4680000001</v>
      </c>
      <c r="AY384" s="123">
        <v>110</v>
      </c>
      <c r="AZ384" s="123">
        <f>(AY384/12*2*$E384*$G384*$H384*$N384*$AZ$11)+(AY384/12*10*$F384*$G384*$H384*$N384*$AZ$11)</f>
        <v>3368230.0713599995</v>
      </c>
      <c r="BA384" s="123"/>
      <c r="BB384" s="123">
        <f>(BA384/12*2*$E384*$G384*$H384*$N384*$BB$11)+(BA384/12*10*$F384*$G384*$H384*$N384*$BB$12)</f>
        <v>0</v>
      </c>
      <c r="BC384" s="123"/>
      <c r="BD384" s="126">
        <f>(BC384/12*2*$E384*$G384*$H384*$N384*$BD$11)+(BC384/12*10*$F384*$G384*$H384*$N384*$BD$12)</f>
        <v>0</v>
      </c>
      <c r="BE384" s="123">
        <v>50</v>
      </c>
      <c r="BF384" s="123">
        <f>(BE384/12*10*$F384*$G384*$H384*$N384*$BF$12)</f>
        <v>1169142.8000000003</v>
      </c>
      <c r="BG384" s="123"/>
      <c r="BH384" s="123">
        <f>(BG384/12*2*$E384*$G384*$H384*$N384*$BH$11)+(BG384/12*10*$F384*$G384*$H384*$N384*$BH$11)</f>
        <v>0</v>
      </c>
      <c r="BI384" s="123">
        <v>70</v>
      </c>
      <c r="BJ384" s="126">
        <f>(BI384/12*2*$E384*$G384*$H384*$N384*$BJ$11)+(BI384/12*10*$F384*$G384*$H384*$N384*$BJ$11)</f>
        <v>2338275.4214399997</v>
      </c>
      <c r="BK384" s="123">
        <v>60</v>
      </c>
      <c r="BL384" s="127">
        <f>(BK384/12*2*$E384*$G384*$H384*$N384*$BL$11)+(BK384/12*10*$F384*$G384*$H384*$N384*$BL$11)</f>
        <v>2004236.0755199997</v>
      </c>
      <c r="BM384" s="123"/>
      <c r="BN384" s="123">
        <f>(BM384/12*2*$E384*$G384*$H384*$M384*$BN$11)+(BM384/12*10*$F384*$G384*$H384*$M384*$BN$11)</f>
        <v>0</v>
      </c>
      <c r="BO384" s="123"/>
      <c r="BP384" s="123">
        <f>(BO384/12*2*$E384*$G384*$H384*$M384*$BP$11)+(BO384/12*10*$F384*$G384*$H384*$M384*$BP$12)</f>
        <v>0</v>
      </c>
      <c r="BQ384" s="123">
        <v>1</v>
      </c>
      <c r="BR384" s="123">
        <f>(BQ384*$F384*$G384*$H384*$M384*$BR$11)</f>
        <v>23382.856</v>
      </c>
      <c r="BS384" s="123">
        <v>15</v>
      </c>
      <c r="BT384" s="123">
        <f>(BS384/12*2*$E384*$G384*$H384*$N384*$BT$11)+(BS384/12*10*$F384*$G384*$H384*$N384*$BT$11)</f>
        <v>417549.18239999993</v>
      </c>
      <c r="BU384" s="123"/>
      <c r="BV384" s="126">
        <f>(BU384/12*2*$E384*$G384*$H384*$M384*$BV$11)+(BU384/12*10*$F384*$G384*$H384*$M384*$BV$11)</f>
        <v>0</v>
      </c>
      <c r="BW384" s="123"/>
      <c r="BX384" s="123">
        <f>(BW384/12*2*$E384*$G384*$H384*$M384*$BX$11)+(BW384/12*10*$F384*$G384*$H384*$M384*$BX$11)</f>
        <v>0</v>
      </c>
      <c r="BY384" s="123">
        <v>95</v>
      </c>
      <c r="BZ384" s="123">
        <f>(BY384/12*2*$E384*$G384*$H384*$M384*$BZ$11)+(BY384/12*10*$F384*$G384*$H384*$M384*$BZ$11)</f>
        <v>2203731.7960000001</v>
      </c>
      <c r="CA384" s="123">
        <v>24</v>
      </c>
      <c r="CB384" s="123">
        <f>(CA384/12*2*$E384*$G384*$H384*$M384*$CB$11)+(CA384/12*10*$F384*$G384*$H384*$M384*$CB$11)</f>
        <v>668078.69183999998</v>
      </c>
      <c r="CC384" s="123">
        <v>61</v>
      </c>
      <c r="CD384" s="123">
        <f>(CC384/12*2*$E384*$G384*$H384*$M384*$CD$11)+(CC384/12*10*$F384*$G384*$H384*$M384*$CD$11)</f>
        <v>1415027.7847999998</v>
      </c>
      <c r="CE384" s="123">
        <v>73</v>
      </c>
      <c r="CF384" s="123">
        <f>(CE384/12*10*$F384*$G384*$H384*$N384*$CF$11)</f>
        <v>1706948.4879999999</v>
      </c>
      <c r="CG384" s="132">
        <v>15</v>
      </c>
      <c r="CH384" s="123">
        <f>(CG384/12*2*$E384*$G384*$H384*$N384*$CH$11)+(CG384/12*10*$F384*$G384*$H384*$N384*$CH$11)</f>
        <v>375794.26415999996</v>
      </c>
      <c r="CI384" s="123"/>
      <c r="CJ384" s="127"/>
      <c r="CK384" s="123"/>
      <c r="CL384" s="123">
        <f>(CK384/12*2*$E384*$G384*$H384*$N384*$CL$11)+(CK384/12*10*$F384*$G384*$H384*$N384*$CL$12)</f>
        <v>0</v>
      </c>
      <c r="CM384" s="130">
        <v>2</v>
      </c>
      <c r="CN384" s="123">
        <f>(CM384/12*2*$E384*$G384*$H384*$N384*$CN$11)+(CM384/12*10*$F384*$G384*$H384*$N384*$CN$11)</f>
        <v>55673.224320000001</v>
      </c>
      <c r="CO384" s="123">
        <v>19</v>
      </c>
      <c r="CP384" s="123">
        <v>140297.15</v>
      </c>
      <c r="CQ384" s="123"/>
      <c r="CR384" s="123">
        <f>(CQ384/12*2*$E384*$G384*$H384*$O384*$CR$11)+(CQ384/12*10*$F384*$G384*$H384*$O384*$CR$11)</f>
        <v>0</v>
      </c>
      <c r="CS384" s="123">
        <v>15</v>
      </c>
      <c r="CT384" s="133">
        <f>(CS384/12*2*$E384*$G384*$H384*$P384*$CT$11)+(CS384/12*10*$F384*$G384*$H384*$P384*$CT$11)</f>
        <v>638750.83259999985</v>
      </c>
      <c r="CU384" s="127"/>
      <c r="CV384" s="123">
        <f>(CU384*$E384*$G384*$H384*$M384*CV$11)/12*6+(CU384*$E384*$G384*$H384*1*CV$11)/12*6</f>
        <v>0</v>
      </c>
      <c r="CW384" s="126">
        <f t="shared" ref="CW384:CX391" si="524">SUM(Q384,S384,U384,W384,Y384,AA384,AC384,AE384,AG384,AM384,BQ384,AI384,AU384,CC384,AW384,AY384,AK384,BC384,AO384,AQ384,BE384,CE384,BG384,BI384,BK384,BS384,BM384,BO384,BU384,BW384,BY384,CA384,CG384,BA384,AS384,CI384,CK384,CM384,CO384,CQ384,CS384,CU384)</f>
        <v>1912</v>
      </c>
      <c r="CX384" s="126">
        <f t="shared" si="524"/>
        <v>55341841.244767994</v>
      </c>
    </row>
    <row r="385" spans="1:102" ht="30" customHeight="1" x14ac:dyDescent="0.25">
      <c r="A385" s="91"/>
      <c r="B385" s="116">
        <v>312</v>
      </c>
      <c r="C385" s="117" t="s">
        <v>888</v>
      </c>
      <c r="D385" s="161" t="s">
        <v>889</v>
      </c>
      <c r="E385" s="95">
        <v>28004</v>
      </c>
      <c r="F385" s="96">
        <v>29405</v>
      </c>
      <c r="G385" s="119">
        <v>1.38</v>
      </c>
      <c r="H385" s="110">
        <v>0.9</v>
      </c>
      <c r="I385" s="110">
        <v>0.85</v>
      </c>
      <c r="J385" s="108"/>
      <c r="K385" s="108"/>
      <c r="L385" s="63"/>
      <c r="M385" s="120">
        <v>1.4</v>
      </c>
      <c r="N385" s="120">
        <v>1.68</v>
      </c>
      <c r="O385" s="120">
        <v>2.23</v>
      </c>
      <c r="P385" s="121">
        <v>2.57</v>
      </c>
      <c r="Q385" s="204">
        <v>13</v>
      </c>
      <c r="R385" s="123">
        <f>(Q385/12*2*$E385*$G385*$H385*$M385*$R$11)+(Q385/12*10*$F385*$G385*$I385*$M385*$R$11)</f>
        <v>691495.11430999986</v>
      </c>
      <c r="S385" s="124">
        <v>0</v>
      </c>
      <c r="T385" s="125">
        <f>(S385/12*2*$E385*$G385*$H385*$M385*$R$11)+(S385/12*10*$F385*$G385*$I385*$M385*$R$11)</f>
        <v>0</v>
      </c>
      <c r="U385" s="123">
        <v>7</v>
      </c>
      <c r="V385" s="123">
        <f>(U385/12*2*$E385*$G385*$H385*$M385*$V$11)+(U385/12*10*$F385*$G385*$I385*$M385*$V$12)</f>
        <v>454173.79283499991</v>
      </c>
      <c r="W385" s="123"/>
      <c r="X385" s="126">
        <f>(W385/12*2*$E385*$G385*$H385*$M385*$X$11)+(W385/12*10*$F385*$G385*$I385*$M385*$X$12)</f>
        <v>0</v>
      </c>
      <c r="Y385" s="123"/>
      <c r="Z385" s="123">
        <f>(Y385/12*2*$E385*$G385*$H385*$M385*$Z$11)+(Y385/12*10*$F385*$G385*$I385*$M385*$Z$12)</f>
        <v>0</v>
      </c>
      <c r="AA385" s="123"/>
      <c r="AB385" s="123">
        <f>(AA385/12*2*$E385*$G385*$H385*$M385*$AB$11)+(AA385/12*10*$F385*$G385*$I385*$M385*$AB$11)</f>
        <v>0</v>
      </c>
      <c r="AC385" s="123"/>
      <c r="AD385" s="123"/>
      <c r="AE385" s="123"/>
      <c r="AF385" s="123">
        <f>(AE385/12*2*$E385*$G385*$H385*$M385*$AF$11)+(AE385/12*10*$F385*$G385*$I385*$M385*$AF$11)</f>
        <v>0</v>
      </c>
      <c r="AG385" s="135">
        <v>0</v>
      </c>
      <c r="AH385" s="136">
        <f>(AG385/12*2*$E385*$G385*$H385*$M385*$AH$11)+(AG385/12*10*$F385*$G385*$I385*$M385*$AH$11)</f>
        <v>0</v>
      </c>
      <c r="AI385" s="123"/>
      <c r="AJ385" s="123">
        <f t="shared" ref="AJ385:AJ389" si="525">(AI385/12*2*$E385*$G385*$H385*$M385*$AJ$11)+(AI385/12*5*$F385*$G385*$I385*$M385*$AJ$12)+(AI385/12*5*$F385*$G385*$I385*$M385*$AJ$13)</f>
        <v>0</v>
      </c>
      <c r="AK385" s="123">
        <v>12</v>
      </c>
      <c r="AL385" s="123">
        <f t="shared" ref="AL385:AL389" si="526">(AK385/12*2*$E385*$G385*$H385*$N385*$AL$11)+(AK385/12*5*$F385*$G385*$I385*$N385*$AL$12)+(AK385/12*5*$F385*$G385*$I385*$N385*$AL$13)</f>
        <v>899435.30090399995</v>
      </c>
      <c r="AM385" s="129"/>
      <c r="AN385" s="123">
        <f>(AM385/12*2*$E385*$G385*$H385*$N385*$AN$11)+(AM385/12*10*$F385*$G385*$I385*$N385*$AN$12)</f>
        <v>0</v>
      </c>
      <c r="AO385" s="130"/>
      <c r="AP385" s="127">
        <f>(AO385/12*2*$E385*$G385*$H385*$N385*$AP$11)+(AO385/12*10*$F385*$G385*$I385*$N385*$AP$11)</f>
        <v>0</v>
      </c>
      <c r="AQ385" s="127">
        <v>0</v>
      </c>
      <c r="AR385" s="127">
        <v>0</v>
      </c>
      <c r="AS385" s="123"/>
      <c r="AT385" s="123"/>
      <c r="AU385" s="123"/>
      <c r="AV385" s="126"/>
      <c r="AW385" s="123"/>
      <c r="AX385" s="123">
        <f>(AW385/12*2*$E385*$G385*$H385*$M385*$AX$11)+(AW385/12*10*$F385*$G385*$I385*$M385*$AX$12)</f>
        <v>0</v>
      </c>
      <c r="AY385" s="123">
        <v>0</v>
      </c>
      <c r="AZ385" s="123">
        <f>(AY385/12*2*$E385*$G385*$H385*$N385*$AZ$11)+(AY385/12*10*$F385*$G385*$I385*$N385*$AZ$11)</f>
        <v>0</v>
      </c>
      <c r="BA385" s="123"/>
      <c r="BB385" s="123">
        <f>(BA385/12*2*$E385*$G385*$H385*$N385*$BB$11)+(BA385/12*10*$F385*$G385*$I385*$N385*$BB$12)</f>
        <v>0</v>
      </c>
      <c r="BC385" s="123"/>
      <c r="BD385" s="126"/>
      <c r="BE385" s="123"/>
      <c r="BF385" s="123">
        <f>(BE385/12*10*$F385*$G385*$I385*$N385*$BF$12)</f>
        <v>0</v>
      </c>
      <c r="BG385" s="123"/>
      <c r="BH385" s="123">
        <f>(BG385/12*2*$E385*$G385*$H385*$N385*$BH$11)+(BG385/12*10*$F385*$G385*$I385*$N385*$BH$11)</f>
        <v>0</v>
      </c>
      <c r="BI385" s="123"/>
      <c r="BJ385" s="126">
        <f>(BI385/12*2*$E385*$G385*$H385*$N385*$BJ$11)+(BI385/12*10*$F385*$G385*$I385*$N385*$BJ$11)</f>
        <v>0</v>
      </c>
      <c r="BK385" s="123"/>
      <c r="BL385" s="127">
        <f>(BK385/12*2*$E385*$G385*$H385*$N385*$BL$11)+(BK385/12*10*$F385*$G385*$I385*$N385*$BL$11)</f>
        <v>0</v>
      </c>
      <c r="BM385" s="123"/>
      <c r="BN385" s="123">
        <f>(BM385/12*2*$E385*$G385*$H385*$M385*$BN$11)+(BM385/12*10*$F385*$G385*$I385*$M385*$BN$11)</f>
        <v>0</v>
      </c>
      <c r="BO385" s="123"/>
      <c r="BP385" s="123">
        <f>(BO385/12*2*$E385*$G385*$H385*$M385*$BP$11)+(BO385/12*10*$F385*$G385*$I385*$M385*$BP$12)</f>
        <v>0</v>
      </c>
      <c r="BQ385" s="123"/>
      <c r="BR385" s="123">
        <f>(BQ385/12*2*$E385*$G385*$H385*$M385*$BR$11)+(BQ385/12*10*$F385*$G385*$I385*$M385*$BR$11)</f>
        <v>0</v>
      </c>
      <c r="BS385" s="123"/>
      <c r="BT385" s="123">
        <f>(BS385/12*2*$E385*$G385*$H385*$N385*$BT$11)+(BS385/12*10*$F385*$G385*$I385*$N385*$BT$11)</f>
        <v>0</v>
      </c>
      <c r="BU385" s="123"/>
      <c r="BV385" s="126">
        <f>(BU385/12*2*$E385*$G385*$H385*$M385*$BV$11)+(BU385/12*10*$F385*$G385*$I385*$M385*$BV$11)</f>
        <v>0</v>
      </c>
      <c r="BW385" s="123"/>
      <c r="BX385" s="123">
        <f>(BW385/12*2*$E385*$G385*$H385*$M385*$BX$11)+(BW385/12*10*$F385*$G385*$I385*$M385*$BX$11)</f>
        <v>0</v>
      </c>
      <c r="BY385" s="123"/>
      <c r="BZ385" s="123">
        <f>(BY385/12*2*$E385*$G385*$H385*$M385*$BZ$11)+(BY385/12*10*$F385*$G385*$I385*$M385*$BZ$11)</f>
        <v>0</v>
      </c>
      <c r="CA385" s="123"/>
      <c r="CB385" s="123">
        <f>(CA385/12*2*$E385*$G385*$H385*$M385*$CB$11)+(CA385/12*10*$F385*$G385*$I385*$M385*$CB$11)</f>
        <v>0</v>
      </c>
      <c r="CC385" s="123"/>
      <c r="CD385" s="123">
        <f>(CC385/12*2*$E385*$G385*$H385*$M385*$CD$11)+(CC385/12*10*$F385*$G385*$I385*$M385*$CD$11)</f>
        <v>0</v>
      </c>
      <c r="CE385" s="123"/>
      <c r="CF385" s="123">
        <f>(CE385/12*10*$F385*$G385*$I385*$N385*$CF$11)</f>
        <v>0</v>
      </c>
      <c r="CG385" s="132"/>
      <c r="CH385" s="123">
        <f>(CG385/12*2*$E385*$G385*$H385*$N385*$CH$11)+(CG385/12*10*$F385*$G385*$I385*$N385*$CH$11)</f>
        <v>0</v>
      </c>
      <c r="CI385" s="123"/>
      <c r="CJ385" s="127"/>
      <c r="CK385" s="123"/>
      <c r="CL385" s="123">
        <f>(CK385/12*2*$E385*$G385*$H385*$N385*$CL$11)+(CK385/12*10*$F385*$G385*$I385*$N385*$CL$12)</f>
        <v>0</v>
      </c>
      <c r="CM385" s="130"/>
      <c r="CN385" s="123">
        <f>(CM385/12*2*$E385*$G385*$H385*$N385*$CN$11)+(CM385/12*10*$F385*$G385*$I385*$N385*$CN$11)</f>
        <v>0</v>
      </c>
      <c r="CO385" s="123"/>
      <c r="CP385" s="123">
        <f>(CO385/12*2*$E385*$G385*$H385*$N385*$CP$11)+(CO385/12*10*$F385*$G385*$I385*$N385*$CP$11)</f>
        <v>0</v>
      </c>
      <c r="CQ385" s="123"/>
      <c r="CR385" s="123">
        <f>(CQ385/12*2*$E385*$G385*$H385*$O385*$CR$11)+(CQ385/12*10*$F385*$G385*$I385*$O385*$CR$11)</f>
        <v>0</v>
      </c>
      <c r="CS385" s="123"/>
      <c r="CT385" s="133">
        <f>(CS385/12*2*$E385*$G385*$H385*$P385*$CT$11)+(CS385/12*10*$F385*$G385*$I385*$P385*$CT$11)</f>
        <v>0</v>
      </c>
      <c r="CU385" s="127"/>
      <c r="CV385" s="123"/>
      <c r="CW385" s="126">
        <f t="shared" si="524"/>
        <v>32</v>
      </c>
      <c r="CX385" s="126">
        <f t="shared" si="524"/>
        <v>2045104.2080489998</v>
      </c>
    </row>
    <row r="386" spans="1:102" ht="30" customHeight="1" x14ac:dyDescent="0.25">
      <c r="A386" s="91"/>
      <c r="B386" s="116">
        <v>313</v>
      </c>
      <c r="C386" s="117" t="s">
        <v>890</v>
      </c>
      <c r="D386" s="161" t="s">
        <v>891</v>
      </c>
      <c r="E386" s="95">
        <v>28004</v>
      </c>
      <c r="F386" s="96">
        <v>29405</v>
      </c>
      <c r="G386" s="119">
        <v>2.41</v>
      </c>
      <c r="H386" s="110">
        <v>0.9</v>
      </c>
      <c r="I386" s="110">
        <v>0.85</v>
      </c>
      <c r="J386" s="203"/>
      <c r="K386" s="203"/>
      <c r="L386" s="63"/>
      <c r="M386" s="120">
        <v>1.4</v>
      </c>
      <c r="N386" s="120">
        <v>1.68</v>
      </c>
      <c r="O386" s="120">
        <v>2.23</v>
      </c>
      <c r="P386" s="121">
        <v>2.57</v>
      </c>
      <c r="Q386" s="204">
        <v>35</v>
      </c>
      <c r="R386" s="123">
        <f>(Q386/12*2*$E386*$G386*$H386*$M386*$R$11)+(Q386/12*10*$F386*$G386*$I386*$M386*$R$11)</f>
        <v>3251260.4733583331</v>
      </c>
      <c r="S386" s="124">
        <v>170</v>
      </c>
      <c r="T386" s="125">
        <f>(S386/12*2*$E386*$G386*$H386*$M386*$R$11)+(S386/12*10*$F386*$G386*$I386*$M386*$R$11)</f>
        <v>15791836.584883336</v>
      </c>
      <c r="U386" s="123">
        <v>40</v>
      </c>
      <c r="V386" s="123">
        <f>(U386/12*2*$E386*$G386*$H386*$M386*$V$11)+(U386/12*10*$F386*$G386*$I386*$M386*$V$12)</f>
        <v>4532334.7442333335</v>
      </c>
      <c r="W386" s="123"/>
      <c r="X386" s="126">
        <f>(W386/12*2*$E386*$G386*$H386*$M386*$X$11)+(W386/12*10*$F386*$G386*$I386*$M386*$X$12)</f>
        <v>0</v>
      </c>
      <c r="Y386" s="123">
        <v>3</v>
      </c>
      <c r="Z386" s="123">
        <f>(Y386*$F386*$G386*$I386*$M386*$Z$12)</f>
        <v>336479.09200500004</v>
      </c>
      <c r="AA386" s="123"/>
      <c r="AB386" s="123">
        <f>(AA386/12*2*$E386*$G386*$H386*$M386*$AB$11)+(AA386/12*10*$F386*$G386*$I386*$M386*$AB$11)</f>
        <v>0</v>
      </c>
      <c r="AC386" s="123"/>
      <c r="AD386" s="123"/>
      <c r="AE386" s="123"/>
      <c r="AF386" s="123">
        <f>(AE386/12*2*$E386*$G386*$H386*$M386*$AF$11)+(AE386/12*10*$F386*$G386*$I386*$M386*$AF$11)</f>
        <v>0</v>
      </c>
      <c r="AG386" s="123">
        <v>0</v>
      </c>
      <c r="AH386" s="126">
        <f>(AG386/12*2*$E386*$G386*$H386*$M386*$AH$11)+(AG386/12*10*$F386*$G386*$I386*$M386*$AH$11)</f>
        <v>0</v>
      </c>
      <c r="AI386" s="123"/>
      <c r="AJ386" s="123">
        <f t="shared" si="525"/>
        <v>0</v>
      </c>
      <c r="AK386" s="123">
        <v>9</v>
      </c>
      <c r="AL386" s="123">
        <f t="shared" si="526"/>
        <v>1178064.714771</v>
      </c>
      <c r="AM386" s="132"/>
      <c r="AN386" s="123">
        <f>(AM386/12*2*$E386*$G386*$H386*$N386*$AN$11)+(AM386/12*10*$F386*$G386*$I386*$N386*$AN$12)</f>
        <v>0</v>
      </c>
      <c r="AO386" s="130"/>
      <c r="AP386" s="127">
        <f>(AO386/12*2*$E386*$G386*$H386*$N386*$AP$11)+(AO386/12*10*$F386*$G386*$I386*$N386*$AP$11)</f>
        <v>0</v>
      </c>
      <c r="AQ386" s="127">
        <v>0</v>
      </c>
      <c r="AR386" s="127">
        <v>0</v>
      </c>
      <c r="AS386" s="123"/>
      <c r="AT386" s="123"/>
      <c r="AU386" s="123"/>
      <c r="AV386" s="126"/>
      <c r="AW386" s="123"/>
      <c r="AX386" s="123">
        <f>(AW386/12*2*$E386*$G386*$H386*$M386*$AX$11)+(AW386/12*10*$F386*$G386*$I386*$M386*$AX$12)</f>
        <v>0</v>
      </c>
      <c r="AY386" s="123">
        <v>9</v>
      </c>
      <c r="AZ386" s="123">
        <f>(AY386/12*2*$E386*$G386*$H386*$N386*$AZ$11)+(AY386/12*10*$F386*$G386*$I386*$N386*$AZ$11)</f>
        <v>1003246.0889220001</v>
      </c>
      <c r="BA386" s="123"/>
      <c r="BB386" s="123">
        <f>(BA386/12*2*$E386*$G386*$H386*$N386*$BB$11)+(BA386/12*10*$F386*$G386*$I386*$N386*$BB$12)</f>
        <v>0</v>
      </c>
      <c r="BC386" s="123"/>
      <c r="BD386" s="126"/>
      <c r="BE386" s="123"/>
      <c r="BF386" s="123">
        <f>(BE386/12*10*$F386*$G386*$I386*$N386*$BF$12)</f>
        <v>0</v>
      </c>
      <c r="BG386" s="123"/>
      <c r="BH386" s="123">
        <f>(BG386/12*2*$E386*$G386*$H386*$N386*$BH$11)+(BG386/12*10*$F386*$G386*$I386*$N386*$BH$11)</f>
        <v>0</v>
      </c>
      <c r="BI386" s="123"/>
      <c r="BJ386" s="126">
        <f>(BI386/12*2*$E386*$G386*$H386*$N386*$BJ$11)+(BI386/12*10*$F386*$G386*$I386*$N386*$BJ$11)</f>
        <v>0</v>
      </c>
      <c r="BK386" s="123">
        <v>3</v>
      </c>
      <c r="BL386" s="127">
        <f>(BK386/12*2*$E386*$G386*$H386*$N386*$BL$11)+(BK386/12*10*$F386*$G386*$I386*$N386*$BL$11)</f>
        <v>364816.75960799993</v>
      </c>
      <c r="BM386" s="123"/>
      <c r="BN386" s="123">
        <f>(BM386/12*2*$E386*$G386*$H386*$M386*$BN$11)+(BM386/12*10*$F386*$G386*$I386*$M386*$BN$11)</f>
        <v>0</v>
      </c>
      <c r="BO386" s="123"/>
      <c r="BP386" s="123">
        <f>(BO386/12*2*$E386*$G386*$H386*$M386*$BP$11)+(BO386/12*10*$F386*$G386*$I386*$M386*$BP$12)</f>
        <v>0</v>
      </c>
      <c r="BQ386" s="123">
        <v>12</v>
      </c>
      <c r="BR386" s="123">
        <f>(BQ386/12*2*$E386*$G386*$H386*$M386*$BR$11)+(BQ386/12*10*$F386*$G386*$I386*$M386*$BR$11)</f>
        <v>1013379.8877999999</v>
      </c>
      <c r="BS386" s="123">
        <v>3</v>
      </c>
      <c r="BT386" s="123">
        <f>(BS386/12*2*$E386*$G386*$H386*$N386*$BT$11)+(BS386/12*10*$F386*$G386*$I386*$N386*$BT$11)</f>
        <v>304013.96633999998</v>
      </c>
      <c r="BU386" s="123"/>
      <c r="BV386" s="126">
        <f>(BU386/12*2*$E386*$G386*$H386*$M386*$BV$11)+(BU386/12*10*$F386*$G386*$I386*$M386*$BV$11)</f>
        <v>0</v>
      </c>
      <c r="BW386" s="123"/>
      <c r="BX386" s="123">
        <f>(BW386/12*2*$E386*$G386*$H386*$M386*$BX$11)+(BW386/12*10*$F386*$G386*$I386*$M386*$BX$11)</f>
        <v>0</v>
      </c>
      <c r="BY386" s="123"/>
      <c r="BZ386" s="123">
        <f>(BY386/12*2*$E386*$G386*$H386*$M386*$BZ$11)+(BY386/12*10*$F386*$G386*$I386*$M386*$BZ$11)</f>
        <v>0</v>
      </c>
      <c r="CA386" s="123"/>
      <c r="CB386" s="123">
        <f>(CA386/12*2*$E386*$G386*$H386*$M386*$CB$11)+(CA386/12*10*$F386*$G386*$I386*$M386*$CB$11)</f>
        <v>0</v>
      </c>
      <c r="CC386" s="123"/>
      <c r="CD386" s="123">
        <f>(CC386/12*2*$E386*$G386*$H386*$M386*$CD$11)+(CC386/12*10*$F386*$G386*$I386*$M386*$CD$11)</f>
        <v>0</v>
      </c>
      <c r="CE386" s="123"/>
      <c r="CF386" s="123">
        <f>(CE386/12*10*$F386*$G386*$I386*$N386*$CF$11)</f>
        <v>0</v>
      </c>
      <c r="CG386" s="132"/>
      <c r="CH386" s="123">
        <f>(CG386/12*2*$E386*$G386*$H386*$N386*$CH$11)+(CG386/12*10*$F386*$G386*$I386*$N386*$CH$11)</f>
        <v>0</v>
      </c>
      <c r="CI386" s="123"/>
      <c r="CJ386" s="127"/>
      <c r="CK386" s="123"/>
      <c r="CL386" s="123">
        <f>(CK386/12*2*$E386*$G386*$H386*$N386*$CL$11)+(CK386/12*10*$F386*$G386*$I386*$N386*$CL$12)</f>
        <v>0</v>
      </c>
      <c r="CM386" s="130"/>
      <c r="CN386" s="123">
        <f>(CM386/12*2*$E386*$G386*$H386*$N386*$CN$11)+(CM386/12*10*$F386*$G386*$I386*$N386*$CN$11)</f>
        <v>0</v>
      </c>
      <c r="CO386" s="123"/>
      <c r="CP386" s="123">
        <f>(CO386/12*2*$E386*$G386*$H386*$N386*$CP$11)+(CO386/12*10*$F386*$G386*$I386*$N386*$CP$11)</f>
        <v>0</v>
      </c>
      <c r="CQ386" s="123"/>
      <c r="CR386" s="123">
        <f>(CQ386/12*2*$E386*$G386*$H386*$O386*$CR$11)+(CQ386/12*10*$F386*$G386*$I386*$O386*$CR$11)</f>
        <v>0</v>
      </c>
      <c r="CS386" s="123"/>
      <c r="CT386" s="133">
        <f>(CS386/12*2*$E386*$G386*$H386*$P386*$CT$11)+(CS386/12*10*$F386*$G386*$I386*$P386*$CT$11)</f>
        <v>0</v>
      </c>
      <c r="CU386" s="127"/>
      <c r="CV386" s="123"/>
      <c r="CW386" s="126">
        <f t="shared" si="524"/>
        <v>284</v>
      </c>
      <c r="CX386" s="126">
        <f t="shared" si="524"/>
        <v>27775432.311921004</v>
      </c>
    </row>
    <row r="387" spans="1:102" ht="30" customHeight="1" x14ac:dyDescent="0.25">
      <c r="A387" s="91"/>
      <c r="B387" s="116">
        <v>314</v>
      </c>
      <c r="C387" s="117" t="s">
        <v>892</v>
      </c>
      <c r="D387" s="161" t="s">
        <v>893</v>
      </c>
      <c r="E387" s="95">
        <v>28004</v>
      </c>
      <c r="F387" s="96">
        <v>29405</v>
      </c>
      <c r="G387" s="119">
        <v>1.43</v>
      </c>
      <c r="H387" s="107">
        <v>1</v>
      </c>
      <c r="I387" s="110">
        <v>1</v>
      </c>
      <c r="J387" s="108"/>
      <c r="K387" s="108"/>
      <c r="L387" s="63"/>
      <c r="M387" s="120">
        <v>1.4</v>
      </c>
      <c r="N387" s="120">
        <v>1.68</v>
      </c>
      <c r="O387" s="120">
        <v>2.23</v>
      </c>
      <c r="P387" s="121">
        <v>2.57</v>
      </c>
      <c r="Q387" s="204">
        <v>2</v>
      </c>
      <c r="R387" s="123">
        <f>(Q387/12*2*$E387*$G387*$H387*$M387*$R$11)+(Q387/12*10*$F387*$G387*$I387*$M387*$R$11)</f>
        <v>128482.9546</v>
      </c>
      <c r="S387" s="124">
        <v>1</v>
      </c>
      <c r="T387" s="125">
        <f>(S387/12*2*$E387*$G387*$H387*$M387*$R$11)+(S387/12*10*$F387*$G387*$I387*$M387*$R$11)</f>
        <v>64241.477299999999</v>
      </c>
      <c r="U387" s="123">
        <v>10</v>
      </c>
      <c r="V387" s="123">
        <f>(U387/12*2*$E387*$G387*$H387*$M387*$V$11)+(U387/12*10*$F387*$G387*$I387*$M387*$V$12)</f>
        <v>783278.66283333348</v>
      </c>
      <c r="W387" s="123"/>
      <c r="X387" s="126">
        <f>(W387/12*2*$E387*$G387*$H387*$M387*$X$11)+(W387/12*10*$F387*$G387*$I387*$M387*$X$12)</f>
        <v>0</v>
      </c>
      <c r="Y387" s="123">
        <f>84+5</f>
        <v>89</v>
      </c>
      <c r="Z387" s="123">
        <f>(Y387/12*2*$E387*$G387*$H387*$M387*$Z$11)+(Y387/12*10*$F387*$G387*$I387*$M387*$Z$12)</f>
        <v>6971180.099216667</v>
      </c>
      <c r="AA387" s="123"/>
      <c r="AB387" s="123">
        <f>(AA387/12*2*$E387*$G387*$H387*$M387*$AB$11)+(AA387/12*10*$F387*$G387*$I387*$M387*$AB$11)</f>
        <v>0</v>
      </c>
      <c r="AC387" s="123"/>
      <c r="AD387" s="123"/>
      <c r="AE387" s="123"/>
      <c r="AF387" s="123">
        <f>(AE387/12*2*$E387*$G387*$H387*$M387*$AF$11)+(AE387/12*10*$F387*$G387*$I387*$M387*$AF$11)</f>
        <v>0</v>
      </c>
      <c r="AG387" s="123">
        <v>0</v>
      </c>
      <c r="AH387" s="126">
        <f>(AG387/12*2*$E387*$G387*$H387*$M387*$AH$11)+(AG387/12*10*$F387*$G387*$I387*$M387*$AH$11)</f>
        <v>0</v>
      </c>
      <c r="AI387" s="123"/>
      <c r="AJ387" s="123">
        <f t="shared" si="525"/>
        <v>0</v>
      </c>
      <c r="AK387" s="123">
        <v>4</v>
      </c>
      <c r="AL387" s="123">
        <f t="shared" si="526"/>
        <v>362069.62792</v>
      </c>
      <c r="AM387" s="132">
        <v>22</v>
      </c>
      <c r="AN387" s="123">
        <f>(AM387/12*2*$E387*$G387*$H387*$N387*$AN$11)+(AM387/12*10*$F387*$G387*$I387*$N387*$AN$12)</f>
        <v>2067855.6698799997</v>
      </c>
      <c r="AO387" s="130"/>
      <c r="AP387" s="127">
        <f>(AO387/12*2*$E387*$G387*$H387*$N387*$AP$11)+(AO387/12*10*$F387*$G387*$I387*$N387*$AP$11)</f>
        <v>0</v>
      </c>
      <c r="AQ387" s="127">
        <v>0</v>
      </c>
      <c r="AR387" s="127">
        <v>0</v>
      </c>
      <c r="AS387" s="123"/>
      <c r="AT387" s="123"/>
      <c r="AU387" s="123"/>
      <c r="AV387" s="126"/>
      <c r="AW387" s="123"/>
      <c r="AX387" s="123">
        <f>(AW387/12*2*$E387*$G387*$H387*$M387*$AX$11)+(AW387/12*10*$F387*$G387*$I387*$M387*$AX$12)</f>
        <v>0</v>
      </c>
      <c r="AY387" s="123">
        <v>0</v>
      </c>
      <c r="AZ387" s="123">
        <f>(AY387/12*2*$E387*$G387*$H387*$N387*$AZ$11)+(AY387/12*10*$F387*$G387*$I387*$N387*$AZ$11)</f>
        <v>0</v>
      </c>
      <c r="BA387" s="123"/>
      <c r="BB387" s="123">
        <f>(BA387/12*2*$E387*$G387*$H387*$N387*$BB$11)+(BA387/12*10*$F387*$G387*$I387*$N387*$BB$12)</f>
        <v>0</v>
      </c>
      <c r="BC387" s="123"/>
      <c r="BD387" s="126"/>
      <c r="BE387" s="123"/>
      <c r="BF387" s="123">
        <f>(BE387/12*10*$F387*$G387*$I387*$N387*$BF$12)</f>
        <v>0</v>
      </c>
      <c r="BG387" s="123"/>
      <c r="BH387" s="123">
        <f>(BG387/12*2*$E387*$G387*$H387*$N387*$BH$11)+(BG387/12*10*$F387*$G387*$I387*$N387*$BH$11)</f>
        <v>0</v>
      </c>
      <c r="BI387" s="123"/>
      <c r="BJ387" s="126">
        <f>(BI387/12*2*$E387*$G387*$H387*$N387*$BJ$11)+(BI387/12*10*$F387*$G387*$I387*$N387*$BJ$11)</f>
        <v>0</v>
      </c>
      <c r="BK387" s="123"/>
      <c r="BL387" s="127">
        <f>(BK387/12*2*$E387*$G387*$H387*$N387*$BL$11)+(BK387/12*10*$F387*$G387*$I387*$N387*$BL$11)</f>
        <v>0</v>
      </c>
      <c r="BM387" s="123"/>
      <c r="BN387" s="123">
        <f>(BM387/12*2*$E387*$G387*$H387*$M387*$BN$11)+(BM387/12*10*$F387*$G387*$I387*$M387*$BN$11)</f>
        <v>0</v>
      </c>
      <c r="BO387" s="123"/>
      <c r="BP387" s="123">
        <f>(BO387/12*2*$E387*$G387*$H387*$M387*$BP$11)+(BO387/12*10*$F387*$G387*$I387*$M387*$BP$12)</f>
        <v>0</v>
      </c>
      <c r="BQ387" s="123"/>
      <c r="BR387" s="123">
        <f>(BQ387/12*2*$E387*$G387*$H387*$M387*$BR$11)+(BQ387/12*10*$F387*$G387*$I387*$M387*$BR$11)</f>
        <v>0</v>
      </c>
      <c r="BS387" s="123"/>
      <c r="BT387" s="123">
        <f>(BS387/12*2*$E387*$G387*$H387*$N387*$BT$11)+(BS387/12*10*$F387*$G387*$I387*$N387*$BT$11)</f>
        <v>0</v>
      </c>
      <c r="BU387" s="123"/>
      <c r="BV387" s="126">
        <f>(BU387/12*2*$E387*$G387*$H387*$M387*$BV$11)+(BU387/12*10*$F387*$G387*$I387*$M387*$BV$11)</f>
        <v>0</v>
      </c>
      <c r="BW387" s="123"/>
      <c r="BX387" s="123">
        <f>(BW387/12*2*$E387*$G387*$H387*$M387*$BX$11)+(BW387/12*10*$F387*$G387*$I387*$M387*$BX$11)</f>
        <v>0</v>
      </c>
      <c r="BY387" s="123"/>
      <c r="BZ387" s="123">
        <f>(BY387/12*2*$E387*$G387*$H387*$M387*$BZ$11)+(BY387/12*10*$F387*$G387*$I387*$M387*$BZ$11)</f>
        <v>0</v>
      </c>
      <c r="CA387" s="123"/>
      <c r="CB387" s="123">
        <f>(CA387/12*2*$E387*$G387*$H387*$M387*$CB$11)+(CA387/12*10*$F387*$G387*$I387*$M387*$CB$11)</f>
        <v>0</v>
      </c>
      <c r="CC387" s="123"/>
      <c r="CD387" s="123">
        <f>(CC387/12*2*$E387*$G387*$H387*$M387*$CD$11)+(CC387/12*10*$F387*$G387*$I387*$M387*$CD$11)</f>
        <v>0</v>
      </c>
      <c r="CE387" s="123"/>
      <c r="CF387" s="123">
        <f>(CE387/12*10*$F387*$G387*$I387*$N387*$CF$11)</f>
        <v>0</v>
      </c>
      <c r="CG387" s="132"/>
      <c r="CH387" s="123">
        <f>(CG387/12*2*$E387*$G387*$H387*$N387*$CH$11)+(CG387/12*10*$F387*$G387*$I387*$N387*$CH$11)</f>
        <v>0</v>
      </c>
      <c r="CI387" s="123"/>
      <c r="CJ387" s="127"/>
      <c r="CK387" s="123"/>
      <c r="CL387" s="123">
        <f>(CK387/12*2*$E387*$G387*$H387*$N387*$CL$11)+(CK387/12*10*$F387*$G387*$I387*$N387*$CL$12)</f>
        <v>0</v>
      </c>
      <c r="CM387" s="130"/>
      <c r="CN387" s="123">
        <f>(CM387/12*2*$E387*$G387*$H387*$N387*$CN$11)+(CM387/12*10*$F387*$G387*$I387*$N387*$CN$11)</f>
        <v>0</v>
      </c>
      <c r="CO387" s="123"/>
      <c r="CP387" s="123">
        <f>(CO387/12*2*$E387*$G387*$H387*$N387*$CP$11)+(CO387/12*10*$F387*$G387*$I387*$N387*$CP$11)</f>
        <v>0</v>
      </c>
      <c r="CQ387" s="123"/>
      <c r="CR387" s="123">
        <f>(CQ387/12*2*$E387*$G387*$H387*$O387*$CR$11)+(CQ387/12*10*$F387*$G387*$I387*$O387*$CR$11)</f>
        <v>0</v>
      </c>
      <c r="CS387" s="123"/>
      <c r="CT387" s="133">
        <f>(CS387/12*2*$E387*$G387*$H387*$P387*$CT$11)+(CS387/12*10*$F387*$G387*$I387*$P387*$CT$11)</f>
        <v>0</v>
      </c>
      <c r="CU387" s="127"/>
      <c r="CV387" s="123"/>
      <c r="CW387" s="126">
        <f t="shared" si="524"/>
        <v>128</v>
      </c>
      <c r="CX387" s="126">
        <f t="shared" si="524"/>
        <v>10377108.49175</v>
      </c>
    </row>
    <row r="388" spans="1:102" ht="30" customHeight="1" x14ac:dyDescent="0.25">
      <c r="A388" s="91"/>
      <c r="B388" s="116">
        <v>315</v>
      </c>
      <c r="C388" s="117" t="s">
        <v>894</v>
      </c>
      <c r="D388" s="161" t="s">
        <v>895</v>
      </c>
      <c r="E388" s="95">
        <v>28004</v>
      </c>
      <c r="F388" s="96">
        <v>29405</v>
      </c>
      <c r="G388" s="119">
        <v>1.83</v>
      </c>
      <c r="H388" s="107">
        <v>1</v>
      </c>
      <c r="I388" s="110">
        <v>1</v>
      </c>
      <c r="J388" s="108"/>
      <c r="K388" s="108"/>
      <c r="L388" s="63"/>
      <c r="M388" s="120">
        <v>1.4</v>
      </c>
      <c r="N388" s="120">
        <v>1.68</v>
      </c>
      <c r="O388" s="120">
        <v>2.23</v>
      </c>
      <c r="P388" s="121">
        <v>2.57</v>
      </c>
      <c r="Q388" s="204">
        <v>7</v>
      </c>
      <c r="R388" s="123">
        <f>(Q388/12*2*$E388*$G388*$H388*$M388*$R$11)+(Q388/12*10*$F388*$G388*$I388*$M388*$R$11)</f>
        <v>575477.84910000011</v>
      </c>
      <c r="S388" s="124">
        <v>1</v>
      </c>
      <c r="T388" s="125">
        <f>(S388/12*2*$E388*$G388*$H388*$M388*$R$11)+(S388/12*10*$F388*$G388*$I388*$M388*$R$11)</f>
        <v>82211.121299999999</v>
      </c>
      <c r="U388" s="123">
        <v>3</v>
      </c>
      <c r="V388" s="123">
        <f>(U388/12*2*$E388*$G388*$H388*$M388*$V$11)+(U388/12*10*$F388*$G388*$I388*$M388*$V$12)</f>
        <v>300713.27685000002</v>
      </c>
      <c r="W388" s="123"/>
      <c r="X388" s="126">
        <f>(W388/12*2*$E388*$G388*$H388*$M388*$X$11)+(W388/12*10*$F388*$G388*$I388*$M388*$X$12)</f>
        <v>0</v>
      </c>
      <c r="Y388" s="123">
        <f>5+3</f>
        <v>8</v>
      </c>
      <c r="Z388" s="123">
        <f>(Y388/12*2*$E388*$G388*$H388*$M388*$Z$11)+(Y388/12*10*$F388*$G388*$I388*$M388*$Z$12)</f>
        <v>801902.07159999991</v>
      </c>
      <c r="AA388" s="123"/>
      <c r="AB388" s="123">
        <f>(AA388/12*2*$E388*$G388*$H388*$M388*$AB$11)+(AA388/12*10*$F388*$G388*$I388*$M388*$AB$11)</f>
        <v>0</v>
      </c>
      <c r="AC388" s="123"/>
      <c r="AD388" s="123"/>
      <c r="AE388" s="123"/>
      <c r="AF388" s="123">
        <f>(AE388/12*2*$E388*$G388*$H388*$M388*$AF$11)+(AE388/12*10*$F388*$G388*$I388*$M388*$AF$11)</f>
        <v>0</v>
      </c>
      <c r="AG388" s="123">
        <v>0</v>
      </c>
      <c r="AH388" s="126">
        <f>(AG388/12*2*$E388*$G388*$H388*$M388*$AH$11)+(AG388/12*10*$F388*$G388*$I388*$M388*$AH$11)</f>
        <v>0</v>
      </c>
      <c r="AI388" s="123">
        <v>8</v>
      </c>
      <c r="AJ388" s="123">
        <f t="shared" si="525"/>
        <v>772246.40919999999</v>
      </c>
      <c r="AK388" s="123">
        <v>11</v>
      </c>
      <c r="AL388" s="123">
        <f t="shared" si="526"/>
        <v>1274206.5751800002</v>
      </c>
      <c r="AM388" s="132">
        <v>4</v>
      </c>
      <c r="AN388" s="123">
        <f>(AM388/12*2*$E388*$G388*$H388*$N388*$AN$11)+(AM388/12*10*$F388*$G388*$I388*$N388*$AN$12)</f>
        <v>481141.24296</v>
      </c>
      <c r="AO388" s="130"/>
      <c r="AP388" s="127">
        <f>(AO388/12*2*$E388*$G388*$H388*$N388*$AP$11)+(AO388/12*10*$F388*$G388*$I388*$N388*$AP$11)</f>
        <v>0</v>
      </c>
      <c r="AQ388" s="127">
        <v>0</v>
      </c>
      <c r="AR388" s="127">
        <v>0</v>
      </c>
      <c r="AS388" s="123"/>
      <c r="AT388" s="123"/>
      <c r="AU388" s="123"/>
      <c r="AV388" s="126"/>
      <c r="AW388" s="123"/>
      <c r="AX388" s="123">
        <f>(AW388/12*2*$E388*$G388*$H388*$M388*$AX$11)+(AW388/12*10*$F388*$G388*$I388*$M388*$AX$12)</f>
        <v>0</v>
      </c>
      <c r="AY388" s="123">
        <v>2</v>
      </c>
      <c r="AZ388" s="123">
        <f>(AY388/12*2*$E388*$G388*$H388*$N388*$AZ$11)+(AY388/12*10*$F388*$G388*$I388*$N388*$AZ$11)</f>
        <v>197306.69112</v>
      </c>
      <c r="BA388" s="123"/>
      <c r="BB388" s="123">
        <f>(BA388/12*2*$E388*$G388*$H388*$N388*$BB$11)+(BA388/12*10*$F388*$G388*$I388*$N388*$BB$12)</f>
        <v>0</v>
      </c>
      <c r="BC388" s="123"/>
      <c r="BD388" s="126"/>
      <c r="BE388" s="123"/>
      <c r="BF388" s="123">
        <f>(BE388/12*10*$F388*$G388*$I388*$N388*$BF$12)</f>
        <v>0</v>
      </c>
      <c r="BG388" s="123"/>
      <c r="BH388" s="123">
        <f>(BG388/12*2*$E388*$G388*$H388*$N388*$BH$11)+(BG388/12*10*$F388*$G388*$I388*$N388*$BH$11)</f>
        <v>0</v>
      </c>
      <c r="BI388" s="123"/>
      <c r="BJ388" s="126">
        <f>(BI388/12*2*$E388*$G388*$H388*$N388*$BJ$11)+(BI388/12*10*$F388*$G388*$I388*$N388*$BJ$11)</f>
        <v>0</v>
      </c>
      <c r="BK388" s="123"/>
      <c r="BL388" s="127">
        <f>(BK388/12*2*$E388*$G388*$H388*$N388*$BL$11)+(BK388/12*10*$F388*$G388*$I388*$N388*$BL$11)</f>
        <v>0</v>
      </c>
      <c r="BM388" s="123"/>
      <c r="BN388" s="123">
        <f>(BM388/12*2*$E388*$G388*$H388*$M388*$BN$11)+(BM388/12*10*$F388*$G388*$I388*$M388*$BN$11)</f>
        <v>0</v>
      </c>
      <c r="BO388" s="123"/>
      <c r="BP388" s="123">
        <f>(BO388/12*2*$E388*$G388*$H388*$M388*$BP$11)+(BO388/12*10*$F388*$G388*$I388*$M388*$BP$12)</f>
        <v>0</v>
      </c>
      <c r="BQ388" s="123"/>
      <c r="BR388" s="123">
        <f>(BQ388/12*2*$E388*$G388*$H388*$M388*$BR$11)+(BQ388/12*10*$F388*$G388*$I388*$M388*$BR$11)</f>
        <v>0</v>
      </c>
      <c r="BS388" s="123"/>
      <c r="BT388" s="123">
        <f>(BS388/12*2*$E388*$G388*$H388*$N388*$BT$11)+(BS388/12*10*$F388*$G388*$I388*$N388*$BT$11)</f>
        <v>0</v>
      </c>
      <c r="BU388" s="123"/>
      <c r="BV388" s="126">
        <f>(BU388/12*2*$E388*$G388*$H388*$M388*$BV$11)+(BU388/12*10*$F388*$G388*$I388*$M388*$BV$11)</f>
        <v>0</v>
      </c>
      <c r="BW388" s="123"/>
      <c r="BX388" s="123">
        <f>(BW388/12*2*$E388*$G388*$H388*$M388*$BX$11)+(BW388/12*10*$F388*$G388*$I388*$M388*$BX$11)</f>
        <v>0</v>
      </c>
      <c r="BY388" s="123"/>
      <c r="BZ388" s="123">
        <f>(BY388/12*2*$E388*$G388*$H388*$M388*$BZ$11)+(BY388/12*10*$F388*$G388*$I388*$M388*$BZ$11)</f>
        <v>0</v>
      </c>
      <c r="CA388" s="123"/>
      <c r="CB388" s="123">
        <f>(CA388/12*2*$E388*$G388*$H388*$M388*$CB$11)+(CA388/12*10*$F388*$G388*$I388*$M388*$CB$11)</f>
        <v>0</v>
      </c>
      <c r="CC388" s="123">
        <v>2</v>
      </c>
      <c r="CD388" s="123">
        <f>(CC388/12*2*$E388*$G388*$H388*$M388*$CD$11)+(CC388/12*10*$F388*$G388*$I388*$M388*$CD$11)</f>
        <v>149474.766</v>
      </c>
      <c r="CE388" s="123"/>
      <c r="CF388" s="123">
        <f>(CE388/12*10*$F388*$G388*$I388*$N388*$CF$11)</f>
        <v>0</v>
      </c>
      <c r="CG388" s="132"/>
      <c r="CH388" s="123">
        <f>(CG388/12*2*$E388*$G388*$H388*$N388*$CH$11)+(CG388/12*10*$F388*$G388*$I388*$N388*$CH$11)</f>
        <v>0</v>
      </c>
      <c r="CI388" s="123"/>
      <c r="CJ388" s="127"/>
      <c r="CK388" s="123"/>
      <c r="CL388" s="123">
        <f>(CK388/12*2*$E388*$G388*$H388*$N388*$CL$11)+(CK388/12*10*$F388*$G388*$I388*$N388*$CL$12)</f>
        <v>0</v>
      </c>
      <c r="CM388" s="130"/>
      <c r="CN388" s="123">
        <f>(CM388/12*2*$E388*$G388*$H388*$N388*$CN$11)+(CM388/12*10*$F388*$G388*$I388*$N388*$CN$11)</f>
        <v>0</v>
      </c>
      <c r="CO388" s="123"/>
      <c r="CP388" s="123">
        <f>(CO388/12*2*$E388*$G388*$H388*$N388*$CP$11)+(CO388/12*10*$F388*$G388*$I388*$N388*$CP$11)</f>
        <v>0</v>
      </c>
      <c r="CQ388" s="123"/>
      <c r="CR388" s="123">
        <f>(CQ388/12*2*$E388*$G388*$H388*$O388*$CR$11)+(CQ388/12*10*$F388*$G388*$I388*$O388*$CR$11)</f>
        <v>0</v>
      </c>
      <c r="CS388" s="123"/>
      <c r="CT388" s="133">
        <f>(CS388/12*2*$E388*$G388*$H388*$P388*$CT$11)+(CS388/12*10*$F388*$G388*$I388*$P388*$CT$11)</f>
        <v>0</v>
      </c>
      <c r="CU388" s="127"/>
      <c r="CV388" s="123"/>
      <c r="CW388" s="126">
        <f t="shared" si="524"/>
        <v>46</v>
      </c>
      <c r="CX388" s="126">
        <f t="shared" si="524"/>
        <v>4634680.0033100005</v>
      </c>
    </row>
    <row r="389" spans="1:102" ht="30" customHeight="1" x14ac:dyDescent="0.25">
      <c r="A389" s="91"/>
      <c r="B389" s="116">
        <v>316</v>
      </c>
      <c r="C389" s="117" t="s">
        <v>896</v>
      </c>
      <c r="D389" s="161" t="s">
        <v>897</v>
      </c>
      <c r="E389" s="95">
        <v>28004</v>
      </c>
      <c r="F389" s="96">
        <v>29405</v>
      </c>
      <c r="G389" s="119">
        <v>2.16</v>
      </c>
      <c r="H389" s="107">
        <v>1</v>
      </c>
      <c r="I389" s="110">
        <v>1</v>
      </c>
      <c r="J389" s="108"/>
      <c r="K389" s="108"/>
      <c r="L389" s="63"/>
      <c r="M389" s="120">
        <v>1.4</v>
      </c>
      <c r="N389" s="120">
        <v>1.68</v>
      </c>
      <c r="O389" s="120">
        <v>2.23</v>
      </c>
      <c r="P389" s="121">
        <v>2.57</v>
      </c>
      <c r="Q389" s="204">
        <v>4</v>
      </c>
      <c r="R389" s="123">
        <f>(Q389/12*2*$E389*$G389*$H389*$M389*$R$11)+(Q389/12*10*$F389*$G389*$I389*$M389*$R$11)</f>
        <v>388144.31040000002</v>
      </c>
      <c r="S389" s="124">
        <v>0</v>
      </c>
      <c r="T389" s="125">
        <f>(S389/12*2*$E389*$G389*$H389*$M389*$R$11)+(S389/12*10*$F389*$G389*$I389*$M389*$R$11)</f>
        <v>0</v>
      </c>
      <c r="U389" s="123"/>
      <c r="V389" s="123">
        <f>(U389/12*2*$E389*$G389*$H389*$M389*$V$11)+(U389/12*10*$F389*$G389*$I389*$M389*$V$12)</f>
        <v>0</v>
      </c>
      <c r="W389" s="123"/>
      <c r="X389" s="126">
        <f>(W389/12*2*$E389*$G389*$H389*$M389*$X$11)+(W389/12*10*$F389*$G389*$I389*$M389*$X$12)</f>
        <v>0</v>
      </c>
      <c r="Y389" s="123"/>
      <c r="Z389" s="123">
        <f>(Y389/12*2*$E389*$G389*$H389*$M389*$Z$11)+(Y389/12*10*$F389*$G389*$I389*$M389*$Z$12)</f>
        <v>0</v>
      </c>
      <c r="AA389" s="123"/>
      <c r="AB389" s="123">
        <f>(AA389/12*2*$E389*$G389*$H389*$M389*$AB$11)+(AA389/12*10*$F389*$G389*$I389*$M389*$AB$11)</f>
        <v>0</v>
      </c>
      <c r="AC389" s="123"/>
      <c r="AD389" s="123"/>
      <c r="AE389" s="123"/>
      <c r="AF389" s="123">
        <f>(AE389/12*2*$E389*$G389*$H389*$M389*$AF$11)+(AE389/12*10*$F389*$G389*$I389*$M389*$AF$11)</f>
        <v>0</v>
      </c>
      <c r="AG389" s="123">
        <v>0</v>
      </c>
      <c r="AH389" s="126">
        <f>(AG389/12*2*$E389*$G389*$H389*$M389*$AH$11)+(AG389/12*10*$F389*$G389*$I389*$M389*$AH$11)</f>
        <v>0</v>
      </c>
      <c r="AI389" s="123"/>
      <c r="AJ389" s="123">
        <f t="shared" si="525"/>
        <v>0</v>
      </c>
      <c r="AK389" s="123"/>
      <c r="AL389" s="123">
        <f t="shared" si="526"/>
        <v>0</v>
      </c>
      <c r="AM389" s="132">
        <v>0</v>
      </c>
      <c r="AN389" s="123">
        <f>(AM389/12*2*$E389*$G389*$H389*$N389*$AN$11)+(AM389/12*10*$F389*$G389*$I389*$N389*$AN$12)</f>
        <v>0</v>
      </c>
      <c r="AO389" s="130"/>
      <c r="AP389" s="127">
        <f>(AO389/12*2*$E389*$G389*$H389*$N389*$AP$11)+(AO389/12*10*$F389*$G389*$I389*$N389*$AP$11)</f>
        <v>0</v>
      </c>
      <c r="AQ389" s="127">
        <v>0</v>
      </c>
      <c r="AR389" s="127">
        <v>0</v>
      </c>
      <c r="AS389" s="123"/>
      <c r="AT389" s="123"/>
      <c r="AU389" s="123"/>
      <c r="AV389" s="126"/>
      <c r="AW389" s="123"/>
      <c r="AX389" s="123">
        <f>(AW389/12*2*$E389*$G389*$H389*$M389*$AX$11)+(AW389/12*10*$F389*$G389*$I389*$M389*$AX$12)</f>
        <v>0</v>
      </c>
      <c r="AY389" s="123">
        <v>0</v>
      </c>
      <c r="AZ389" s="123">
        <f>(AY389/12*2*$E389*$G389*$H389*$N389*$AZ$11)+(AY389/12*10*$F389*$G389*$I389*$N389*$AZ$11)</f>
        <v>0</v>
      </c>
      <c r="BA389" s="123"/>
      <c r="BB389" s="123">
        <f>(BA389/12*2*$E389*$G389*$H389*$N389*$BB$11)+(BA389/12*10*$F389*$G389*$I389*$N389*$BB$12)</f>
        <v>0</v>
      </c>
      <c r="BC389" s="123"/>
      <c r="BD389" s="126"/>
      <c r="BE389" s="123"/>
      <c r="BF389" s="123">
        <f>(BE389/12*10*$F389*$G389*$I389*$N389*$BF$12)</f>
        <v>0</v>
      </c>
      <c r="BG389" s="123"/>
      <c r="BH389" s="123">
        <f>(BG389/12*2*$E389*$G389*$H389*$N389*$BH$11)+(BG389/12*10*$F389*$G389*$I389*$N389*$BH$11)</f>
        <v>0</v>
      </c>
      <c r="BI389" s="123"/>
      <c r="BJ389" s="126">
        <f>(BI389/12*2*$E389*$G389*$H389*$N389*$BJ$11)+(BI389/12*10*$F389*$G389*$I389*$N389*$BJ$11)</f>
        <v>0</v>
      </c>
      <c r="BK389" s="123"/>
      <c r="BL389" s="127">
        <f>(BK389/12*2*$E389*$G389*$H389*$N389*$BL$11)+(BK389/12*10*$F389*$G389*$I389*$N389*$BL$11)</f>
        <v>0</v>
      </c>
      <c r="BM389" s="123"/>
      <c r="BN389" s="123">
        <f>(BM389/12*2*$E389*$G389*$H389*$M389*$BN$11)+(BM389/12*10*$F389*$G389*$I389*$M389*$BN$11)</f>
        <v>0</v>
      </c>
      <c r="BO389" s="123"/>
      <c r="BP389" s="123">
        <f>(BO389/12*2*$E389*$G389*$H389*$M389*$BP$11)+(BO389/12*10*$F389*$G389*$I389*$M389*$BP$12)</f>
        <v>0</v>
      </c>
      <c r="BQ389" s="123"/>
      <c r="BR389" s="123">
        <f>(BQ389/12*2*$E389*$G389*$H389*$M389*$BR$11)+(BQ389/12*10*$F389*$G389*$I389*$M389*$BR$11)</f>
        <v>0</v>
      </c>
      <c r="BS389" s="123"/>
      <c r="BT389" s="123">
        <f>(BS389/12*2*$E389*$G389*$H389*$N389*$BT$11)+(BS389/12*10*$F389*$G389*$I389*$N389*$BT$11)</f>
        <v>0</v>
      </c>
      <c r="BU389" s="123"/>
      <c r="BV389" s="126">
        <f>(BU389/12*2*$E389*$G389*$H389*$M389*$BV$11)+(BU389/12*10*$F389*$G389*$I389*$M389*$BV$11)</f>
        <v>0</v>
      </c>
      <c r="BW389" s="123"/>
      <c r="BX389" s="123">
        <f>(BW389/12*2*$E389*$G389*$H389*$M389*$BX$11)+(BW389/12*10*$F389*$G389*$I389*$M389*$BX$11)</f>
        <v>0</v>
      </c>
      <c r="BY389" s="123"/>
      <c r="BZ389" s="123">
        <f>(BY389/12*2*$E389*$G389*$H389*$M389*$BZ$11)+(BY389/12*10*$F389*$G389*$I389*$M389*$BZ$11)</f>
        <v>0</v>
      </c>
      <c r="CA389" s="123"/>
      <c r="CB389" s="123">
        <f>(CA389/12*2*$E389*$G389*$H389*$M389*$CB$11)+(CA389/12*10*$F389*$G389*$I389*$M389*$CB$11)</f>
        <v>0</v>
      </c>
      <c r="CC389" s="123"/>
      <c r="CD389" s="123">
        <f>(CC389/12*2*$E389*$G389*$H389*$M389*$CD$11)+(CC389/12*10*$F389*$G389*$I389*$M389*$CD$11)</f>
        <v>0</v>
      </c>
      <c r="CE389" s="123"/>
      <c r="CF389" s="123">
        <f>(CE389/12*10*$F389*$G389*$I389*$N389*$CF$11)</f>
        <v>0</v>
      </c>
      <c r="CG389" s="132"/>
      <c r="CH389" s="123">
        <f>(CG389/12*2*$E389*$G389*$H389*$N389*$CH$11)+(CG389/12*10*$F389*$G389*$I389*$N389*$CH$11)</f>
        <v>0</v>
      </c>
      <c r="CI389" s="123"/>
      <c r="CJ389" s="127"/>
      <c r="CK389" s="123"/>
      <c r="CL389" s="123">
        <f>(CK389/12*2*$E389*$G389*$H389*$N389*$CL$11)+(CK389/12*10*$F389*$G389*$I389*$N389*$CL$12)</f>
        <v>0</v>
      </c>
      <c r="CM389" s="130"/>
      <c r="CN389" s="123">
        <f>(CM389/12*2*$E389*$G389*$H389*$N389*$CN$11)+(CM389/12*10*$F389*$G389*$I389*$N389*$CN$11)</f>
        <v>0</v>
      </c>
      <c r="CO389" s="123"/>
      <c r="CP389" s="123">
        <f>(CO389/12*2*$E389*$G389*$H389*$N389*$CP$11)+(CO389/12*10*$F389*$G389*$I389*$N389*$CP$11)</f>
        <v>0</v>
      </c>
      <c r="CQ389" s="123"/>
      <c r="CR389" s="123">
        <f>(CQ389/12*2*$E389*$G389*$H389*$O389*$CR$11)+(CQ389/12*10*$F389*$G389*$I389*$O389*$CR$11)</f>
        <v>0</v>
      </c>
      <c r="CS389" s="123"/>
      <c r="CT389" s="133">
        <f>(CS389/12*2*$E389*$G389*$H389*$P389*$CT$11)+(CS389/12*10*$F389*$G389*$I389*$P389*$CT$11)</f>
        <v>0</v>
      </c>
      <c r="CU389" s="127"/>
      <c r="CV389" s="123"/>
      <c r="CW389" s="126">
        <f t="shared" si="524"/>
        <v>4</v>
      </c>
      <c r="CX389" s="126">
        <f t="shared" si="524"/>
        <v>388144.31040000002</v>
      </c>
    </row>
    <row r="390" spans="1:102" ht="30" customHeight="1" x14ac:dyDescent="0.25">
      <c r="A390" s="91"/>
      <c r="B390" s="116">
        <v>317</v>
      </c>
      <c r="C390" s="117" t="s">
        <v>898</v>
      </c>
      <c r="D390" s="161" t="s">
        <v>899</v>
      </c>
      <c r="E390" s="95">
        <v>28004</v>
      </c>
      <c r="F390" s="96">
        <v>29405</v>
      </c>
      <c r="G390" s="119">
        <v>1.81</v>
      </c>
      <c r="H390" s="110">
        <v>0.9</v>
      </c>
      <c r="I390" s="110">
        <v>0.85</v>
      </c>
      <c r="J390" s="108"/>
      <c r="K390" s="108"/>
      <c r="L390" s="63"/>
      <c r="M390" s="120">
        <v>1.4</v>
      </c>
      <c r="N390" s="120">
        <v>1.68</v>
      </c>
      <c r="O390" s="120">
        <v>2.23</v>
      </c>
      <c r="P390" s="121">
        <v>2.57</v>
      </c>
      <c r="Q390" s="204">
        <v>80</v>
      </c>
      <c r="R390" s="123">
        <f>(Q390/12*2*$E390*$G390*$H390*$M390)+(Q390/12*10*$F390*$G390*$I390*$M390)</f>
        <v>5073907.598666667</v>
      </c>
      <c r="S390" s="124">
        <v>1</v>
      </c>
      <c r="T390" s="125">
        <f>(S390/12*2*$E390*$G390*$H390*$M390)+(S390/12*10*$F390*$G390*$I390*$M390)</f>
        <v>63423.844983333329</v>
      </c>
      <c r="U390" s="123">
        <v>7</v>
      </c>
      <c r="V390" s="123">
        <f>(U390/12*2*$E390*$G390*$H390*$M390)+(U390/12*10*$F390*$G390*$I390*$M390)</f>
        <v>443966.91488333332</v>
      </c>
      <c r="W390" s="123"/>
      <c r="X390" s="123">
        <f>(W390/12*2*$E390*$G390*$H390*$M390)+(W390/12*10*$F390*$G390*$I390*$M390)</f>
        <v>0</v>
      </c>
      <c r="Y390" s="123">
        <f>39-12</f>
        <v>27</v>
      </c>
      <c r="Z390" s="123">
        <f>(Y390/12*2*$E390*$G390*$H390*$M390)+(Y390/12*10*$F390*$G390*$I390*$M390)</f>
        <v>1712443.8145499998</v>
      </c>
      <c r="AA390" s="123"/>
      <c r="AB390" s="123">
        <f>(AA390*$E390*$G390*$H390*$M390)/12*2+(AA390*$F390*$G390*$I390*$M390)/12*10</f>
        <v>0</v>
      </c>
      <c r="AC390" s="123"/>
      <c r="AD390" s="123"/>
      <c r="AE390" s="123"/>
      <c r="AF390" s="123">
        <f>(AE390/12*2*$E390*$G390*$H390*$M390)+(AE390/12*10*$F390*$G390*$I390*$M390)</f>
        <v>0</v>
      </c>
      <c r="AG390" s="123">
        <v>0</v>
      </c>
      <c r="AH390" s="123">
        <f>(AG390/12*2*$E390*$G390*$H390*$M390)+(AG390/12*10*$F390*$G390*$I390*$M390)</f>
        <v>0</v>
      </c>
      <c r="AI390" s="123">
        <v>2</v>
      </c>
      <c r="AJ390" s="123">
        <f>(AI390/12*2*$E390*$G390*$H390*$M390)+(AI390/12*10*$F390*$G390*$I390*$M390)</f>
        <v>126847.68996666666</v>
      </c>
      <c r="AK390" s="123">
        <v>20</v>
      </c>
      <c r="AL390" s="126">
        <f>(AK390/12*2*$E390*$G390*$H390*$N390)+(AK390/12*10*$F390*$G390*$I390*$N390)</f>
        <v>1522172.2796</v>
      </c>
      <c r="AM390" s="132">
        <f>28-8</f>
        <v>20</v>
      </c>
      <c r="AN390" s="123">
        <f>(AM390/12*2*$E390*$G390*$H390*$N390)+(AM390/12*10*$F390*$G390*$I390*$N390)</f>
        <v>1522172.2796</v>
      </c>
      <c r="AO390" s="130">
        <v>1</v>
      </c>
      <c r="AP390" s="123">
        <f>(AO390/12*2*$E390*$G390*$H390*$N390)+(AO390/12*10*$F390*$G390*$I390*$N390)</f>
        <v>76108.613979999995</v>
      </c>
      <c r="AQ390" s="123">
        <v>0</v>
      </c>
      <c r="AR390" s="123">
        <v>0</v>
      </c>
      <c r="AS390" s="123"/>
      <c r="AT390" s="123">
        <f>(AS390*$E390*$G390*$H390*$M390)/12*3+(AS390*$F390*$G390*$I390*$M390)/12*9</f>
        <v>0</v>
      </c>
      <c r="AU390" s="123"/>
      <c r="AV390" s="123"/>
      <c r="AW390" s="123"/>
      <c r="AX390" s="123">
        <f>(AW390/12*2*$E390*$G390*$H390*$M390)+(AW390/12*10*$F390*$G390*$I390*$M390)</f>
        <v>0</v>
      </c>
      <c r="AY390" s="123">
        <v>4</v>
      </c>
      <c r="AZ390" s="123">
        <f>(AY390/12*2*$E390*$G390*$H390*$N390)+(AY390/12*10*$F390*$G390*$I390*$N390)</f>
        <v>304434.45591999998</v>
      </c>
      <c r="BA390" s="123"/>
      <c r="BB390" s="123">
        <f>(BA390/12*2*$E390*$G390*$H390*$N390)+(BA390/12*10*$F390*$G390*$I390*$N390)</f>
        <v>0</v>
      </c>
      <c r="BC390" s="123"/>
      <c r="BD390" s="123">
        <f>(BC390/12*2*$E390*$G390*$H390*$N390)+(BC390/12*10*$F390*$G390*$I390*$N390)</f>
        <v>0</v>
      </c>
      <c r="BE390" s="123"/>
      <c r="BF390" s="123">
        <f>(BE390/12*10*$F390*$G390*$I390*$N390)</f>
        <v>0</v>
      </c>
      <c r="BG390" s="123"/>
      <c r="BH390" s="123">
        <f>(BG390/12*2*$E390*$G390*$H390*$N390)+(BG390/12*10*$F390*$G390*$I390*$N390)</f>
        <v>0</v>
      </c>
      <c r="BI390" s="123"/>
      <c r="BJ390" s="123">
        <f>(BI390/12*2*$E390*$G390*$H390*$N390)+(BI390/12*10*$F390*$G390*$I390*$N390)</f>
        <v>0</v>
      </c>
      <c r="BK390" s="123"/>
      <c r="BL390" s="123">
        <f>(BK390/12*2*$E390*$G390*$H390*$N390)+(BK390/12*10*$F390*$G390*$I390*$N390)</f>
        <v>0</v>
      </c>
      <c r="BM390" s="123"/>
      <c r="BN390" s="123"/>
      <c r="BO390" s="123"/>
      <c r="BP390" s="123">
        <f>(BO390/12*2*$E390*$G390*$H390*$M390)+(BO390/12*10*$F390*$G390*$I390*$M390)</f>
        <v>0</v>
      </c>
      <c r="BQ390" s="123"/>
      <c r="BR390" s="123">
        <f>(BQ390/12*2*$E390*$G390*$H390*$M390)+(BQ390/12*10*$F390*$G390*$I390*$M390)</f>
        <v>0</v>
      </c>
      <c r="BS390" s="123"/>
      <c r="BT390" s="123">
        <f>(BS390/12*2*$E390*$G390*$H390*$N390)+(BS390/12*10*$F390*$G390*$I390*$N390)</f>
        <v>0</v>
      </c>
      <c r="BU390" s="123"/>
      <c r="BV390" s="123">
        <f>(BU390/12*2*$E390*$G390*$H390*$M390)+(BU390/12*10*$F390*$G390*$I390*$M390)</f>
        <v>0</v>
      </c>
      <c r="BW390" s="123"/>
      <c r="BX390" s="123">
        <f>(BW390/12*2*$E390*$G390*$H390*$M390)+(BW390/12*10*$F390*$G390*$I390*$M390)</f>
        <v>0</v>
      </c>
      <c r="BY390" s="123"/>
      <c r="BZ390" s="123">
        <f>(BY390/12*2*$E390*$G390*$H390*$M390)+(BY390/12*10*$F390*$G390*$I390*$M390)</f>
        <v>0</v>
      </c>
      <c r="CA390" s="123"/>
      <c r="CB390" s="123">
        <f>(CA390/12*2*$E390*$G390*$H390*$M390)+(CA390/12*10*$F390*$G390*$I390*$M390)</f>
        <v>0</v>
      </c>
      <c r="CC390" s="123"/>
      <c r="CD390" s="123">
        <f>(CC390/12*2*$E390*$G390*$H390*$M390)+(CC390/12*10*$F390*$G390*$I390*$M390)</f>
        <v>0</v>
      </c>
      <c r="CE390" s="123"/>
      <c r="CF390" s="123">
        <f>(CE390/12*10*$F390*$G390*$I390*$N390)</f>
        <v>0</v>
      </c>
      <c r="CG390" s="132"/>
      <c r="CH390" s="123">
        <f>(CG390/12*2*$E390*$G390*$H390*$N390)+(CG390/12*10*$F390*$G390*$I390*$N390)</f>
        <v>0</v>
      </c>
      <c r="CI390" s="123"/>
      <c r="CJ390" s="127">
        <f>(CI390*$E390*$G390*$H390*$N390)</f>
        <v>0</v>
      </c>
      <c r="CK390" s="123"/>
      <c r="CL390" s="123">
        <f>(CK390/12*2*$E390*$G390*$H390*$N390)+(CK390/12*10*$F390*$G390*$I390*$N390)</f>
        <v>0</v>
      </c>
      <c r="CM390" s="130"/>
      <c r="CN390" s="123">
        <f>(CM390/12*2*$E390*$G390*$H390*$N390)+(CM390/12*10*$F390*$G390*$I390*$N390)</f>
        <v>0</v>
      </c>
      <c r="CO390" s="123"/>
      <c r="CP390" s="123">
        <f>(CO390/12*2*$E390*$G390*$H390*$N390)+(CO390/12*10*$F390*$G390*$I390*$N390)</f>
        <v>0</v>
      </c>
      <c r="CQ390" s="123"/>
      <c r="CR390" s="123">
        <f>(CQ390/12*2*$E390*$G390*$H390*$O390)+(CQ390/12*10*$F390*$G390*$I390*$O390)</f>
        <v>0</v>
      </c>
      <c r="CS390" s="123"/>
      <c r="CT390" s="127">
        <f>(CS390/12*2*$E390*$G390*$H390*$P390)+(CS390/12*10*$F390*$G390*$I390*$P390)</f>
        <v>0</v>
      </c>
      <c r="CU390" s="127"/>
      <c r="CV390" s="127"/>
      <c r="CW390" s="126">
        <f t="shared" si="524"/>
        <v>162</v>
      </c>
      <c r="CX390" s="126">
        <f t="shared" si="524"/>
        <v>10845477.492150001</v>
      </c>
    </row>
    <row r="391" spans="1:102" ht="30" customHeight="1" x14ac:dyDescent="0.25">
      <c r="A391" s="91"/>
      <c r="B391" s="116">
        <v>318</v>
      </c>
      <c r="C391" s="117" t="s">
        <v>900</v>
      </c>
      <c r="D391" s="161" t="s">
        <v>901</v>
      </c>
      <c r="E391" s="95">
        <v>28004</v>
      </c>
      <c r="F391" s="96">
        <v>29405</v>
      </c>
      <c r="G391" s="119">
        <v>2.67</v>
      </c>
      <c r="H391" s="110">
        <v>0.95</v>
      </c>
      <c r="I391" s="110">
        <v>1</v>
      </c>
      <c r="J391" s="108"/>
      <c r="K391" s="108"/>
      <c r="L391" s="63"/>
      <c r="M391" s="120">
        <v>1.4</v>
      </c>
      <c r="N391" s="120">
        <v>1.68</v>
      </c>
      <c r="O391" s="120">
        <v>2.23</v>
      </c>
      <c r="P391" s="121">
        <v>2.57</v>
      </c>
      <c r="Q391" s="204">
        <v>3</v>
      </c>
      <c r="R391" s="123">
        <f>(Q391/12*2*$E391*$G391*$H391*$M391)+(Q391/12*10*$F391*$G391*$I391*$M391)</f>
        <v>324512.22719999996</v>
      </c>
      <c r="S391" s="124">
        <v>0</v>
      </c>
      <c r="T391" s="125">
        <f>(S391/12*2*$E391*$G391*$H391*$M391)+(S391/12*10*$F391*$G391*$I391*$M391)</f>
        <v>0</v>
      </c>
      <c r="U391" s="123">
        <v>1</v>
      </c>
      <c r="V391" s="123">
        <f>(U391/12*2*$E391*$G391*$H391*$M391)+(U391/12*10*$F391*$G391*$I391*$M391)</f>
        <v>108170.74239999999</v>
      </c>
      <c r="W391" s="123"/>
      <c r="X391" s="123">
        <f>(W391/12*2*$E391*$G391*$H391*$M391)+(W391/12*10*$F391*$G391*$I391*$M391)</f>
        <v>0</v>
      </c>
      <c r="Y391" s="123">
        <v>4</v>
      </c>
      <c r="Z391" s="123">
        <f>(Y391/12*2*$E391*$G391*$H391*$M391)+(Y391/12*10*$F391*$G391*$I391*$M391)</f>
        <v>432682.96959999995</v>
      </c>
      <c r="AA391" s="123"/>
      <c r="AB391" s="123">
        <f>(AA391*$E391*$G391*$H391*$M391)/12*2+(AA391*$F391*$G391*$I391*$M391)/12*10</f>
        <v>0</v>
      </c>
      <c r="AC391" s="123"/>
      <c r="AD391" s="123"/>
      <c r="AE391" s="123"/>
      <c r="AF391" s="123">
        <f>(AE391/12*2*$E391*$G391*$H391*$M391)+(AE391/12*10*$F391*$G391*$I391*$M391)</f>
        <v>0</v>
      </c>
      <c r="AG391" s="123">
        <v>0</v>
      </c>
      <c r="AH391" s="123">
        <f>(AG391/12*2*$E391*$G391*$H391*$M391)+(AG391/12*10*$F391*$G391*$I391*$M391)</f>
        <v>0</v>
      </c>
      <c r="AI391" s="123"/>
      <c r="AJ391" s="123">
        <f>(AI391/12*2*$E391*$G391*$H391*$M391)+(AI391/12*10*$F391*$G391*$I391*$M391)</f>
        <v>0</v>
      </c>
      <c r="AK391" s="123"/>
      <c r="AL391" s="126">
        <f>(AK391/12*2*$E391*$G391*$H391*$N391)+(AK391/12*10*$F391*$G391*$I391*$N391)</f>
        <v>0</v>
      </c>
      <c r="AM391" s="132"/>
      <c r="AN391" s="123">
        <f>(AM391/12*2*$E391*$G391*$H391*$N391)+(AM391/12*10*$F391*$G391*$I391*$N391)</f>
        <v>0</v>
      </c>
      <c r="AO391" s="130"/>
      <c r="AP391" s="123">
        <f>(AO391/12*2*$E391*$G391*$H391*$N391)+(AO391/12*10*$F391*$G391*$I391*$N391)</f>
        <v>0</v>
      </c>
      <c r="AQ391" s="123">
        <v>0</v>
      </c>
      <c r="AR391" s="123">
        <v>0</v>
      </c>
      <c r="AS391" s="123"/>
      <c r="AT391" s="123"/>
      <c r="AU391" s="123"/>
      <c r="AV391" s="123"/>
      <c r="AW391" s="123"/>
      <c r="AX391" s="123">
        <f>(AW391/12*2*$E391*$G391*$H391*$M391)+(AW391/12*10*$F391*$G391*$I391*$M391)</f>
        <v>0</v>
      </c>
      <c r="AY391" s="123">
        <v>0</v>
      </c>
      <c r="AZ391" s="123">
        <f>(AY391/12*2*$E391*$G391*$H391*$N391)+(AY391/12*10*$F391*$G391*$I391*$N391)</f>
        <v>0</v>
      </c>
      <c r="BA391" s="123"/>
      <c r="BB391" s="123">
        <f>(BA391/12*2*$E391*$G391*$H391*$N391)+(BA391/12*10*$F391*$G391*$I391*$N391)</f>
        <v>0</v>
      </c>
      <c r="BC391" s="123"/>
      <c r="BD391" s="123">
        <f>(BC391/12*2*$E391*$G391*$H391*$N391)+(BC391/12*10*$F391*$G391*$I391*$N391)</f>
        <v>0</v>
      </c>
      <c r="BE391" s="123"/>
      <c r="BF391" s="123">
        <f>(BE391/12*10*$F391*$G391*$I391*$N391)</f>
        <v>0</v>
      </c>
      <c r="BG391" s="123"/>
      <c r="BH391" s="123">
        <f>(BG391/12*2*$E391*$G391*$H391*$N391)+(BG391/12*10*$F391*$G391*$I391*$N391)</f>
        <v>0</v>
      </c>
      <c r="BI391" s="123"/>
      <c r="BJ391" s="123">
        <f>(BI391/12*2*$E391*$G391*$H391*$N391)+(BI391/12*10*$F391*$G391*$I391*$N391)</f>
        <v>0</v>
      </c>
      <c r="BK391" s="123"/>
      <c r="BL391" s="123">
        <f>(BK391/12*2*$E391*$G391*$H391*$N391)+(BK391/12*10*$F391*$G391*$I391*$N391)</f>
        <v>0</v>
      </c>
      <c r="BM391" s="123"/>
      <c r="BN391" s="123"/>
      <c r="BO391" s="123"/>
      <c r="BP391" s="123">
        <f>(BO391/12*2*$E391*$G391*$H391*$M391)+(BO391/12*10*$F391*$G391*$I391*$M391)</f>
        <v>0</v>
      </c>
      <c r="BQ391" s="123"/>
      <c r="BR391" s="123">
        <f>(BQ391/12*2*$E391*$G391*$H391*$M391)+(BQ391/12*10*$F391*$G391*$I391*$M391)</f>
        <v>0</v>
      </c>
      <c r="BS391" s="123"/>
      <c r="BT391" s="123">
        <f>(BS391/12*2*$E391*$G391*$H391*$N391)+(BS391/12*10*$F391*$G391*$I391*$N391)</f>
        <v>0</v>
      </c>
      <c r="BU391" s="123"/>
      <c r="BV391" s="123">
        <f>(BU391/12*2*$E391*$G391*$H391*$M391)+(BU391/12*10*$F391*$G391*$I391*$M391)</f>
        <v>0</v>
      </c>
      <c r="BW391" s="123"/>
      <c r="BX391" s="123">
        <f>(BW391/12*2*$E391*$G391*$H391*$M391)+(BW391/12*10*$F391*$G391*$I391*$M391)</f>
        <v>0</v>
      </c>
      <c r="BY391" s="123"/>
      <c r="BZ391" s="123">
        <f>(BY391/12*2*$E391*$G391*$H391*$M391)+(BY391/12*10*$F391*$G391*$I391*$M391)</f>
        <v>0</v>
      </c>
      <c r="CA391" s="123"/>
      <c r="CB391" s="123">
        <f>(CA391/12*2*$E391*$G391*$H391*$M391)+(CA391/12*10*$F391*$G391*$I391*$M391)</f>
        <v>0</v>
      </c>
      <c r="CC391" s="123"/>
      <c r="CD391" s="123">
        <f>(CC391/12*2*$E391*$G391*$H391*$M391)+(CC391/12*10*$F391*$G391*$I391*$M391)</f>
        <v>0</v>
      </c>
      <c r="CE391" s="123"/>
      <c r="CF391" s="123">
        <f>(CE391/12*10*$F391*$G391*$I391*$N391)</f>
        <v>0</v>
      </c>
      <c r="CG391" s="132"/>
      <c r="CH391" s="123">
        <f>(CG391/12*2*$E391*$G391*$H391*$N391)+(CG391/12*10*$F391*$G391*$I391*$N391)</f>
        <v>0</v>
      </c>
      <c r="CI391" s="123"/>
      <c r="CJ391" s="127">
        <f>(CI391*$E391*$G391*$H391*$N391)</f>
        <v>0</v>
      </c>
      <c r="CK391" s="123"/>
      <c r="CL391" s="123">
        <f>(CK391/12*2*$E391*$G391*$H391*$N391)+(CK391/12*10*$F391*$G391*$I391*$N391)</f>
        <v>0</v>
      </c>
      <c r="CM391" s="130"/>
      <c r="CN391" s="123">
        <f>(CM391/12*2*$E391*$G391*$H391*$N391)+(CM391/12*10*$F391*$G391*$I391*$N391)</f>
        <v>0</v>
      </c>
      <c r="CO391" s="123"/>
      <c r="CP391" s="123">
        <f>(CO391/12*2*$E391*$G391*$H391*$N391)+(CO391/12*10*$F391*$G391*$I391*$N391)</f>
        <v>0</v>
      </c>
      <c r="CQ391" s="123"/>
      <c r="CR391" s="123">
        <f>(CQ391/12*2*$E391*$G391*$H391*$O391)+(CQ391/12*10*$F391*$G391*$I391*$O391)</f>
        <v>0</v>
      </c>
      <c r="CS391" s="123"/>
      <c r="CT391" s="127">
        <f>(CS391/12*2*$E391*$G391*$H391*$P391)+(CS391/12*10*$F391*$G391*$I391*$P391)</f>
        <v>0</v>
      </c>
      <c r="CU391" s="127"/>
      <c r="CV391" s="127"/>
      <c r="CW391" s="126">
        <f t="shared" si="524"/>
        <v>8</v>
      </c>
      <c r="CX391" s="126">
        <f t="shared" si="524"/>
        <v>865365.93919999991</v>
      </c>
    </row>
    <row r="392" spans="1:102" ht="45" customHeight="1" x14ac:dyDescent="0.25">
      <c r="A392" s="91"/>
      <c r="B392" s="116">
        <v>319</v>
      </c>
      <c r="C392" s="117" t="s">
        <v>902</v>
      </c>
      <c r="D392" s="161" t="s">
        <v>903</v>
      </c>
      <c r="E392" s="95">
        <v>28004</v>
      </c>
      <c r="F392" s="96">
        <v>29405</v>
      </c>
      <c r="G392" s="119">
        <v>0.73</v>
      </c>
      <c r="H392" s="107">
        <v>1</v>
      </c>
      <c r="I392" s="108"/>
      <c r="J392" s="108"/>
      <c r="K392" s="108"/>
      <c r="L392" s="63"/>
      <c r="M392" s="120">
        <v>1.4</v>
      </c>
      <c r="N392" s="120">
        <v>1.68</v>
      </c>
      <c r="O392" s="120">
        <v>2.23</v>
      </c>
      <c r="P392" s="121">
        <v>2.57</v>
      </c>
      <c r="Q392" s="204">
        <v>1</v>
      </c>
      <c r="R392" s="123">
        <f>(Q392/12*2*$E392*$G392*$H392*$M392*$R$11)+(Q392/12*10*$F392*$G392*$H392*$M392*$R$11)</f>
        <v>32794.600299999998</v>
      </c>
      <c r="S392" s="124">
        <v>0</v>
      </c>
      <c r="T392" s="125">
        <f>(S392/12*2*$E392*$G392*$H392*$M392*$R$11)+(S392/12*10*$F392*$G392*$H392*$M392*$R$11)</f>
        <v>0</v>
      </c>
      <c r="U392" s="123">
        <v>3</v>
      </c>
      <c r="V392" s="123">
        <f>(U392/12*2*$E392*$G392*$H392*$M392*$V$11)+(U392/12*10*$F392*$G392*$H392*$M392*$V$12)</f>
        <v>119956.66235</v>
      </c>
      <c r="W392" s="123"/>
      <c r="X392" s="126">
        <f>(W392/12*2*$E392*$G392*$H392*$M392*$X$11)+(W392/12*10*$F392*$G392*$H392*$M392*$X$12)</f>
        <v>0</v>
      </c>
      <c r="Y392" s="123"/>
      <c r="Z392" s="123">
        <f>(Y392/12*2*$E392*$G392*$H392*$M392*$Z$11)+(Y392/12*10*$F392*$G392*$H392*$M392*$Z$12)</f>
        <v>0</v>
      </c>
      <c r="AA392" s="123"/>
      <c r="AB392" s="123">
        <f>(AA392/12*2*$E392*$G392*$H392*$M392*$AB$11)+(AA392/12*10*$F392*$G392*$H392*$M392*$AB$11)</f>
        <v>0</v>
      </c>
      <c r="AC392" s="123"/>
      <c r="AD392" s="123"/>
      <c r="AE392" s="123"/>
      <c r="AF392" s="127">
        <f>(AE392/12*2*$E392*$G392*$H392*$M392*$AF$11)+(AE392/12*10*$F392*$G392*$H392*$M392*$AF$11)</f>
        <v>0</v>
      </c>
      <c r="AG392" s="123">
        <v>20</v>
      </c>
      <c r="AH392" s="126">
        <f>(AG392/12*2*$E392*$G392*$H392*$M392*$AH$11)+(AG392/12*10*$F392*$G392*$H392*$M392*$AH$11)</f>
        <v>655892.00600000005</v>
      </c>
      <c r="AI392" s="130">
        <v>12</v>
      </c>
      <c r="AJ392" s="123">
        <f>(AI392/12*2*$E392*$G392*$H392*$M392*$AJ$11)+(AI392/12*5*$F392*$G392*$H392*$M392*$AJ$12)+(AI392/12*5*$F392*$G392*$H392*$M392*$AJ$13)</f>
        <v>462081.86779999995</v>
      </c>
      <c r="AK392" s="123">
        <v>13</v>
      </c>
      <c r="AL392" s="123">
        <f>(AK392/12*2*$E392*$G392*$H392*$N392*$AL$11)+(AK392/12*5*$F392*$G392*$H392*$N392*$AL$12)++(AK392/12*5*$F392*$G392*$H392*$N392*$AL$13)</f>
        <v>600706.42813999986</v>
      </c>
      <c r="AM392" s="129"/>
      <c r="AN392" s="123">
        <f>(AM392/12*2*$E392*$G392*$H392*$N392*$AN$11)+(AM392/12*10*$F392*$G392*$H392*$N392*$AN$12)</f>
        <v>0</v>
      </c>
      <c r="AO392" s="130">
        <v>0</v>
      </c>
      <c r="AP392" s="127">
        <f>(AO392/12*2*$E392*$G392*$H392*$N392*$AP$11)+(AO392/12*10*$F392*$G392*$H392*$N392*$AP$11)</f>
        <v>0</v>
      </c>
      <c r="AQ392" s="127">
        <v>0</v>
      </c>
      <c r="AR392" s="127">
        <v>0</v>
      </c>
      <c r="AS392" s="123"/>
      <c r="AT392" s="123">
        <f>(AS392/12*2*$E392*$G392*$H392*$M392*$AT$11)+(AS392/12*10*$F392*$G392*$H392*$M392*$AT$11)</f>
        <v>0</v>
      </c>
      <c r="AU392" s="123"/>
      <c r="AV392" s="126">
        <f>(AU392/12*2*$E392*$G392*$H392*$M392*$AV$11)+(AU392/12*10*$F392*$G392*$H392*$M392*$AV$12)</f>
        <v>0</v>
      </c>
      <c r="AW392" s="123"/>
      <c r="AX392" s="123">
        <f>(AW392/12*2*$E392*$G392*$H392*$M392*$AX$11)+(AW392/12*10*$F392*$G392*$H392*$M392*$AX$12)</f>
        <v>0</v>
      </c>
      <c r="AY392" s="123">
        <v>7</v>
      </c>
      <c r="AZ392" s="123">
        <f>(AY392/12*2*$E392*$G392*$H392*$N392*$AZ$11)+(AY392/12*10*$F392*$G392*$H392*$N392*$AZ$11)</f>
        <v>275474.64252000005</v>
      </c>
      <c r="BA392" s="123"/>
      <c r="BB392" s="123">
        <f>(BA392/12*2*$E392*$G392*$H392*$N392*$BB$11)+(BA392/12*10*$F392*$G392*$H392*$N392*$BB$12)</f>
        <v>0</v>
      </c>
      <c r="BC392" s="123"/>
      <c r="BD392" s="126">
        <f>(BC392/12*2*$E392*$G392*$H392*$N392*$BD$11)+(BC392/12*10*$F392*$G392*$H392*$N392*$BD$12)</f>
        <v>0</v>
      </c>
      <c r="BE392" s="123"/>
      <c r="BF392" s="123">
        <f>(BE392/12*10*$F392*$G392*$H392*$N392*$BF$12)</f>
        <v>0</v>
      </c>
      <c r="BG392" s="123"/>
      <c r="BH392" s="123">
        <f>(BG392/12*2*$E392*$G392*$H392*$N392*$BH$11)+(BG392/12*10*$F392*$G392*$H392*$N392*$BH$11)</f>
        <v>0</v>
      </c>
      <c r="BI392" s="123">
        <v>3</v>
      </c>
      <c r="BJ392" s="126">
        <f>(BI392/12*2*$E392*$G392*$H392*$N392*$BJ$11)+(BI392/12*10*$F392*$G392*$H392*$N392*$BJ$11)</f>
        <v>128793.33935999998</v>
      </c>
      <c r="BK392" s="123">
        <v>2</v>
      </c>
      <c r="BL392" s="127">
        <f>(BK392/12*2*$E392*$G392*$H392*$N392*$BL$11)+(BK392/12*10*$F392*$G392*$H392*$N392*$BL$11)</f>
        <v>85862.226239999989</v>
      </c>
      <c r="BM392" s="123"/>
      <c r="BN392" s="123">
        <f>(BM392/12*2*$E392*$G392*$H392*$M392*$BN$11)+(BM392/12*10*$F392*$G392*$H392*$M392*$BN$11)</f>
        <v>0</v>
      </c>
      <c r="BO392" s="123"/>
      <c r="BP392" s="123">
        <f>(BO392/12*2*$E392*$G392*$H392*$M392*$BP$11)+(BO392/12*10*$F392*$G392*$H392*$M392*$BP$12)</f>
        <v>0</v>
      </c>
      <c r="BQ392" s="123"/>
      <c r="BR392" s="123">
        <f>(BQ392/12*2*$E392*$G392*$H392*$M392*$BR$11)+(BQ392/12*10*$F392*$G392*$H392*$M392*$BR$11)</f>
        <v>0</v>
      </c>
      <c r="BS392" s="123">
        <v>1</v>
      </c>
      <c r="BT392" s="123">
        <f>(BS392/12*2*$E392*$G392*$H392*$N392*$BT$11)+(BS392/12*10*$F392*$G392*$H392*$N392*$BT$11)</f>
        <v>35775.927599999995</v>
      </c>
      <c r="BU392" s="123"/>
      <c r="BV392" s="126">
        <f>(BU392/12*2*$E392*$G392*$H392*$M392*$BV$11)+(BU392/12*10*$F392*$G392*$H392*$M392*$BV$11)</f>
        <v>0</v>
      </c>
      <c r="BW392" s="123"/>
      <c r="BX392" s="123">
        <f>(BW392/12*2*$E392*$G392*$H392*$M392*$BX$11)+(BW392/12*10*$F392*$G392*$H392*$M392*$BX$11)</f>
        <v>0</v>
      </c>
      <c r="BY392" s="123"/>
      <c r="BZ392" s="123">
        <f>(BY392/12*2*$E392*$G392*$H392*$M392*$BZ$11)+(BY392/12*10*$F392*$G392*$H392*$M392*$BZ$11)</f>
        <v>0</v>
      </c>
      <c r="CA392" s="123">
        <v>2</v>
      </c>
      <c r="CB392" s="123">
        <f>(CA392/12*2*$E392*$G392*$H392*$M392*$CB$11)+(CA392/12*10*$F392*$G392*$H392*$M392*$CB$11)</f>
        <v>71551.855199999991</v>
      </c>
      <c r="CC392" s="123">
        <v>2</v>
      </c>
      <c r="CD392" s="123">
        <f>(CC392/12*2*$E392*$G392*$H392*$M392*$CD$11)+(CC392/12*10*$F392*$G392*$H392*$M392*$CD$11)</f>
        <v>59626.545999999988</v>
      </c>
      <c r="CE392" s="123"/>
      <c r="CF392" s="123">
        <f>(CE392/12*10*$F392*$G392*$H392*$N392*$CF$11)</f>
        <v>0</v>
      </c>
      <c r="CG392" s="132"/>
      <c r="CH392" s="123">
        <f>(CG392/12*2*$E392*$G392*$H392*$N392*$CH$11)+(CG392/12*10*$F392*$G392*$H392*$N392*$CH$11)</f>
        <v>0</v>
      </c>
      <c r="CI392" s="123"/>
      <c r="CJ392" s="127"/>
      <c r="CK392" s="123"/>
      <c r="CL392" s="123">
        <f>(CK392/12*2*$E392*$G392*$H392*$N392*$CL$11)+(CK392/12*10*$F392*$G392*$H392*$N392*$CL$12)</f>
        <v>0</v>
      </c>
      <c r="CM392" s="130">
        <v>2</v>
      </c>
      <c r="CN392" s="123">
        <f>(CM392/12*2*$E392*$G392*$H392*$N392*$CN$11)+(CM392/12*10*$F392*$G392*$H392*$N392*$CN$11)</f>
        <v>71551.855199999991</v>
      </c>
      <c r="CO392" s="123"/>
      <c r="CP392" s="123">
        <f>(CO392/12*2*$E392*$G392*$H392*$N392*$CP$11)+(CO392/12*10*$F392*$G392*$H392*$N392*$CP$11)</f>
        <v>0</v>
      </c>
      <c r="CQ392" s="123"/>
      <c r="CR392" s="123">
        <f>(CQ392/12*2*$E392*$G392*$H392*$O392*$CR$11)+(CQ392/12*10*$F392*$G392*$H392*$O392*$CR$11)</f>
        <v>0</v>
      </c>
      <c r="CS392" s="123">
        <v>1</v>
      </c>
      <c r="CT392" s="133">
        <f>(CS392/12*2*$E392*$G392*$H392*$P392*$CT$11)+(CS392/12*10*$F392*$G392*$H392*$P392*$CT$11)</f>
        <v>54728.651149999991</v>
      </c>
      <c r="CU392" s="127"/>
      <c r="CV392" s="123">
        <f>(CU392*$E392*$G392*$H392*$M392*CV$11)/12*6+(CU392*$E392*$G392*$H392*1*CV$11)/12*6</f>
        <v>0</v>
      </c>
      <c r="CW392" s="126">
        <f>SUM(Q392,S392,U392,W392,Y392,AA392,AC392,AE392,AG392,AM392,BQ392,AI392,AU392,CC392,AW392,AY392,AK392,BC392,AO392,AQ392,BE392,CE392,BG392,BI392,BK392,BS392,BM392,BO392,BU392,BW392,BY392,CA392,CG392,BA392,AS392,CI392,CK392,CM392,CO392,CQ392,CS392,CU392)</f>
        <v>69</v>
      </c>
      <c r="CX392" s="126">
        <f>SUM(R392,T392,V392,X392,Z392,AB392,AD392,AF392,AH392,AN392,BR392,AJ392,AV392,CD392,AX392,AZ392,AL392,BD392,AP392,AR392,BF392,CF392,BH392,BJ392,BL392,BT392,BN392,BP392,BV392,BX392,BZ392,CB392,CH392,BB392,AT392,CJ392,CL392,CN392,CP392,CR392,CT392,CV392)</f>
        <v>2654796.6078600003</v>
      </c>
    </row>
    <row r="393" spans="1:102" ht="31.5" customHeight="1" x14ac:dyDescent="0.25">
      <c r="A393" s="277" t="s">
        <v>163</v>
      </c>
      <c r="B393" s="116">
        <v>320</v>
      </c>
      <c r="C393" s="117" t="s">
        <v>904</v>
      </c>
      <c r="D393" s="161" t="s">
        <v>905</v>
      </c>
      <c r="E393" s="95">
        <v>28004</v>
      </c>
      <c r="F393" s="96">
        <v>29405</v>
      </c>
      <c r="G393" s="119">
        <v>0.76</v>
      </c>
      <c r="H393" s="110">
        <v>0.9</v>
      </c>
      <c r="I393" s="110">
        <v>0.85</v>
      </c>
      <c r="J393" s="108"/>
      <c r="K393" s="108"/>
      <c r="L393" s="63"/>
      <c r="M393" s="120">
        <v>1.4</v>
      </c>
      <c r="N393" s="120">
        <v>1.68</v>
      </c>
      <c r="O393" s="120">
        <v>2.23</v>
      </c>
      <c r="P393" s="121">
        <v>2.57</v>
      </c>
      <c r="Q393" s="204">
        <v>106</v>
      </c>
      <c r="R393" s="123">
        <f>(Q393/12*2*$E393*$G393*$H393*$M393)+(Q393/12*10*$F393*$G393*$I393*$M393)</f>
        <v>2822886.7137333336</v>
      </c>
      <c r="S393" s="124">
        <v>71</v>
      </c>
      <c r="T393" s="125">
        <f>(S393/12*2*$E393*$G393*$H393*$M393)+(S393/12*10*$F393*$G393*$I393*$M393)</f>
        <v>1890801.4780666665</v>
      </c>
      <c r="U393" s="123">
        <v>180</v>
      </c>
      <c r="V393" s="123">
        <f>(U393/12*2*$E393*$G393*$H393*$M393)+(U393/12*10*$F393*$G393*$I393*$M393)</f>
        <v>4793581.2119999994</v>
      </c>
      <c r="W393" s="123"/>
      <c r="X393" s="123">
        <f>(W393/12*2*$E393*$G393*$H393*$M393)+(W393/12*10*$F393*$G393*$I393*$M393)</f>
        <v>0</v>
      </c>
      <c r="Y393" s="123"/>
      <c r="Z393" s="123">
        <f>(Y393/12*2*$E393*$G393*$H393*$M393)+(Y393/12*10*$F393*$G393*$I393*$M393)</f>
        <v>0</v>
      </c>
      <c r="AA393" s="123"/>
      <c r="AB393" s="123">
        <f>(AA393*$E393*$G393*$H393*$M393)/12*2+(AA393*$F393*$G393*$I393*$M393)/12*10</f>
        <v>0</v>
      </c>
      <c r="AC393" s="123"/>
      <c r="AD393" s="123"/>
      <c r="AE393" s="123">
        <v>10</v>
      </c>
      <c r="AF393" s="127">
        <f>(AE393/12*2*$E393*$G393*$H393*$M393)+(AE393/12*10*$F393*$G393*$I393*$M393)</f>
        <v>266310.06733333337</v>
      </c>
      <c r="AG393" s="123">
        <f>85+2</f>
        <v>87</v>
      </c>
      <c r="AH393" s="123">
        <f>(AG393/12*2*$E393*$G393*$H393*$M393)+(AG393/12*10*$F393*$G393*$I393*$M393)</f>
        <v>2316897.5858</v>
      </c>
      <c r="AI393" s="130">
        <v>2</v>
      </c>
      <c r="AJ393" s="123">
        <f>(AI393/12*2*$E393*$G393*$H393*$M393)+(AI393/12*10*$F393*$G393*$I393*$M393)</f>
        <v>53262.013466666656</v>
      </c>
      <c r="AK393" s="123">
        <v>300</v>
      </c>
      <c r="AL393" s="126">
        <f>(AK393/12*2*$E393*$G393*$H393*$N393)+(AK393/12*10*$F393*$G393*$I393*$N393)</f>
        <v>9587162.4239999987</v>
      </c>
      <c r="AM393" s="132">
        <v>0</v>
      </c>
      <c r="AN393" s="123">
        <f>(AM393/12*2*$E393*$G393*$H393*$N393)+(AM393/12*10*$F393*$G393*$I393*$N393)</f>
        <v>0</v>
      </c>
      <c r="AO393" s="130">
        <v>5</v>
      </c>
      <c r="AP393" s="123">
        <f>(AO393/12*2*$E393*$G393*$H393*$N393)+(AO393/12*10*$F393*$G393*$I393*$N393)</f>
        <v>159786.0404</v>
      </c>
      <c r="AQ393" s="123">
        <v>9</v>
      </c>
      <c r="AR393" s="123">
        <v>287748.53999999998</v>
      </c>
      <c r="AS393" s="123"/>
      <c r="AT393" s="123">
        <f>(AS393*$E393*$G393*$H393*$M393)/12*3+(AS393*$F393*$G393*$I393*$M393)/12*9</f>
        <v>0</v>
      </c>
      <c r="AU393" s="123"/>
      <c r="AV393" s="123"/>
      <c r="AW393" s="123">
        <v>50</v>
      </c>
      <c r="AX393" s="123">
        <f>(AW393/12*2*$E393*$G393*$H393*$M393)+(AW393/12*10*$F393*$G393*$I393*$M393)</f>
        <v>1331550.3366666667</v>
      </c>
      <c r="AY393" s="123">
        <v>305</v>
      </c>
      <c r="AZ393" s="123">
        <f>(AY393/12*2*$E393*$G393*$H393*$N393)+(AY393/12*10*$F393*$G393*$I393*$N393)</f>
        <v>9746948.4644000009</v>
      </c>
      <c r="BA393" s="123">
        <v>7</v>
      </c>
      <c r="BB393" s="123">
        <f>(BA393/12*2*$E393*$G393*$H393*$N393)+(BA393/12*10*$F393*$G393*$I393*$N393)</f>
        <v>223700.45655999999</v>
      </c>
      <c r="BC393" s="123"/>
      <c r="BD393" s="123">
        <f>(BC393/12*2*$E393*$G393*$H393*$N393)+(BC393/12*10*$F393*$G393*$I393*$N393)</f>
        <v>0</v>
      </c>
      <c r="BE393" s="123">
        <v>25</v>
      </c>
      <c r="BF393" s="123">
        <f>(BE393/12*10*$F393*$G393*$I393*$N393)</f>
        <v>664847.05000000016</v>
      </c>
      <c r="BG393" s="123"/>
      <c r="BH393" s="123">
        <f>(BG393/12*2*$E393*$G393*$H393*$N393)+(BG393/12*10*$F393*$G393*$I393*$N393)</f>
        <v>0</v>
      </c>
      <c r="BI393" s="123">
        <v>20</v>
      </c>
      <c r="BJ393" s="123">
        <f>(BI393/12*2*$E393*$G393*$H393*$N393)+(BI393/12*10*$F393*$G393*$I393*$N393)</f>
        <v>639144.16159999999</v>
      </c>
      <c r="BK393" s="123">
        <v>52</v>
      </c>
      <c r="BL393" s="123">
        <f>(BK393/12*2*$E393*$G393*$H393*$N393)+(BK393/12*10*$F393*$G393*$I393*$N393)</f>
        <v>1661774.8201599997</v>
      </c>
      <c r="BM393" s="123"/>
      <c r="BN393" s="123"/>
      <c r="BO393" s="123">
        <v>3</v>
      </c>
      <c r="BP393" s="123">
        <f>(BO393/12*2*$E393*$G393*$H393*$M393)+(BO393/12*10*$F393*$G393*$I393*$M393)</f>
        <v>79893.020199999984</v>
      </c>
      <c r="BQ393" s="123"/>
      <c r="BR393" s="123">
        <f>(BQ393/12*2*$E393*$G393*$H393*$M393)+(BQ393/12*10*$F393*$G393*$I393*$M393)</f>
        <v>0</v>
      </c>
      <c r="BS393" s="123">
        <v>50</v>
      </c>
      <c r="BT393" s="123">
        <f>(BS393/12*2*$E393*$G393*$H393*$N393)+(BS393/12*10*$F393*$G393*$I393*$N393)</f>
        <v>1597860.4040000003</v>
      </c>
      <c r="BU393" s="123">
        <v>37</v>
      </c>
      <c r="BV393" s="123">
        <f>(BU393/12*2*$E393*$G393*$H393*$M393)+(BU393/12*10*$F393*$G393*$I393*$M393)</f>
        <v>985347.24913333333</v>
      </c>
      <c r="BW393" s="123"/>
      <c r="BX393" s="123">
        <f>(BW393/12*2*$E393*$G393*$H393*$M393)+(BW393/12*10*$F393*$G393*$I393*$M393)</f>
        <v>0</v>
      </c>
      <c r="BY393" s="123">
        <v>64</v>
      </c>
      <c r="BZ393" s="123">
        <f>(BY393/12*2*$E393*$G393*$H393*$M393)+(BY393/12*10*$F393*$G393*$I393*$M393)</f>
        <v>1704384.430933333</v>
      </c>
      <c r="CA393" s="123">
        <v>45</v>
      </c>
      <c r="CB393" s="123">
        <f>(CA393/12*2*$E393*$G393*$H393*$M393)+(CA393/12*10*$F393*$G393*$I393*$M393)</f>
        <v>1198395.3029999998</v>
      </c>
      <c r="CC393" s="123">
        <v>72</v>
      </c>
      <c r="CD393" s="123">
        <f>(CC393/12*2*$E393*$G393*$H393*$M393)+(CC393/12*10*$F393*$G393*$I393*$M393)</f>
        <v>1917432.4848</v>
      </c>
      <c r="CE393" s="123">
        <v>50</v>
      </c>
      <c r="CF393" s="123">
        <f>(CE393/12*10*$F393*$G393*$I393*$N393)</f>
        <v>1329694.1000000003</v>
      </c>
      <c r="CG393" s="132"/>
      <c r="CH393" s="123">
        <f>(CG393/12*2*$E393*$G393*$H393*$N393)+(CG393/12*10*$F393*$G393*$I393*$N393)</f>
        <v>0</v>
      </c>
      <c r="CI393" s="123"/>
      <c r="CJ393" s="127">
        <f>(CI393*$E393*$G393*$H393*$N393)</f>
        <v>0</v>
      </c>
      <c r="CK393" s="123"/>
      <c r="CL393" s="123">
        <f>(CK393/12*2*$E393*$G393*$H393*$N393)+(CK393/12*10*$F393*$G393*$I393*$N393)</f>
        <v>0</v>
      </c>
      <c r="CM393" s="130">
        <v>10</v>
      </c>
      <c r="CN393" s="123">
        <f>(CM393/12*2*$E393*$G393*$H393*$N393)+(CM393/12*10*$F393*$G393*$I393*$N393)</f>
        <v>319572.0808</v>
      </c>
      <c r="CO393" s="123">
        <v>125</v>
      </c>
      <c r="CP393" s="123">
        <v>894623.68000000017</v>
      </c>
      <c r="CQ393" s="123">
        <v>20</v>
      </c>
      <c r="CR393" s="123">
        <f>(CQ393/12*2*$E393*$G393*$H393*$O393)+(CQ393/12*10*$F393*$G393*$I393*$O393)</f>
        <v>848387.78593333345</v>
      </c>
      <c r="CS393" s="123">
        <v>30</v>
      </c>
      <c r="CT393" s="127">
        <f>(CS393/12*2*$E393*$G393*$H393*$P393)+(CS393/12*10*$F393*$G393*$I393*$P393)</f>
        <v>1466607.5851</v>
      </c>
      <c r="CU393" s="127"/>
      <c r="CV393" s="127"/>
      <c r="CW393" s="126">
        <f>SUM(Q393,S393,U393,W393,Y393,AA393,AC393,AE393,AG393,AM393,BQ393,AI393,AU393,CC393,AW393,AY393,AK393,BC393,AO393,AQ393,BE393,CE393,BG393,BI393,BK393,BS393,BM393,BO393,BU393,BW393,BY393,CA393,CG393,BA393,AS393,CI393,CK393,CM393,CO393,CQ393,CS393,CU393)</f>
        <v>1735</v>
      </c>
      <c r="CX393" s="126">
        <f>SUM(R393,T393,V393,X393,Z393,AB393,AD393,AF393,AH393,AN393,BR393,AJ393,AV393,CD393,AX393,AZ393,AL393,BD393,AP393,AR393,BF393,CF393,BH393,BJ393,BL393,BT393,BN393,BP393,BV393,BX393,BZ393,CB393,CH393,BB393,AT393,CJ393,CL393,CN393,CP393,CR393,CT393,CV393)</f>
        <v>48788599.488086663</v>
      </c>
    </row>
    <row r="394" spans="1:102" ht="22.5" customHeight="1" x14ac:dyDescent="0.25">
      <c r="A394" s="91"/>
      <c r="B394" s="116">
        <v>321</v>
      </c>
      <c r="C394" s="117" t="s">
        <v>906</v>
      </c>
      <c r="D394" s="161" t="s">
        <v>907</v>
      </c>
      <c r="E394" s="95">
        <v>28004</v>
      </c>
      <c r="F394" s="96">
        <v>29405</v>
      </c>
      <c r="G394" s="119">
        <v>2.42</v>
      </c>
      <c r="H394" s="110">
        <v>0.8</v>
      </c>
      <c r="I394" s="108"/>
      <c r="J394" s="108"/>
      <c r="K394" s="108"/>
      <c r="L394" s="63"/>
      <c r="M394" s="120">
        <v>1.4</v>
      </c>
      <c r="N394" s="120">
        <v>1.68</v>
      </c>
      <c r="O394" s="120">
        <v>2.23</v>
      </c>
      <c r="P394" s="121">
        <v>2.57</v>
      </c>
      <c r="Q394" s="204">
        <v>8</v>
      </c>
      <c r="R394" s="123">
        <f>(Q394/12*2*$E394*$G394*$H394*$M394*$R$11)+(Q394/12*10*$F394*$G394*$H394*$M394*$R$11)</f>
        <v>695784.61567999993</v>
      </c>
      <c r="S394" s="124">
        <f>10-9</f>
        <v>1</v>
      </c>
      <c r="T394" s="125">
        <f>(S394/12*2*$E394*$G394*$H394*$M394*$R$11)+(S394/12*10*$F394*$G394*$H394*$M394*$R$11)</f>
        <v>86973.076959999991</v>
      </c>
      <c r="U394" s="123">
        <v>10</v>
      </c>
      <c r="V394" s="123">
        <f>(U394/12*2*$E394*$G394*$H394*$M394*$V$11)+(U394/12*10*$F394*$G394*$H394*$M394*$V$12)</f>
        <v>1060438.8050666666</v>
      </c>
      <c r="W394" s="123"/>
      <c r="X394" s="126">
        <f>(W394/12*2*$E394*$G394*$H394*$M394*$X$11)+(W394/12*10*$F394*$G394*$H394*$M394*$X$12)</f>
        <v>0</v>
      </c>
      <c r="Y394" s="123"/>
      <c r="Z394" s="123">
        <f>(Y394/12*2*$E394*$G394*$H394*$M394*$Z$11)+(Y394/12*10*$F394*$G394*$H394*$M394*$Z$12)</f>
        <v>0</v>
      </c>
      <c r="AA394" s="123"/>
      <c r="AB394" s="123">
        <f>(AA394/12*2*$E394*$G394*$H394*$M394*$AB$11)+(AA394/12*10*$F394*$G394*$H394*$M394*$AB$11)</f>
        <v>0</v>
      </c>
      <c r="AC394" s="123"/>
      <c r="AD394" s="123"/>
      <c r="AE394" s="123"/>
      <c r="AF394" s="123">
        <f>(AE394/12*2*$E394*$G394*$H394*$M394*$AF$11)+(AE394/12*10*$F394*$G394*$H394*$M394*$AF$11)</f>
        <v>0</v>
      </c>
      <c r="AG394" s="135">
        <v>0</v>
      </c>
      <c r="AH394" s="136">
        <f>(AG394/12*2*$E394*$G394*$H394*$M394*$AH$11)+(AG394/12*10*$F394*$G394*$H394*$M394*$AH$11)</f>
        <v>0</v>
      </c>
      <c r="AI394" s="123"/>
      <c r="AJ394" s="123">
        <f>(AI394/12*2*$E394*$G394*$H394*$M394*$AJ$11)+(AI394/12*5*$F394*$G394*$H394*$M394*$AJ$12)+(AI394/12*5*$F394*$G394*$H394*$M394*$AJ$13)</f>
        <v>0</v>
      </c>
      <c r="AK394" s="123">
        <v>20</v>
      </c>
      <c r="AL394" s="123">
        <f>(AK394/12*2*$E394*$G394*$H394*$N394*$AL$11)+(AK394/12*5*$F394*$G394*$H394*$N394*$AL$12)++(AK394/12*5*$F394*$G394*$H394*$N394*$AL$13)</f>
        <v>2450932.8659200002</v>
      </c>
      <c r="AM394" s="132">
        <v>0</v>
      </c>
      <c r="AN394" s="123">
        <f>(AM394/12*2*$E394*$G394*$H394*$N394*$AN$11)+(AM394/12*10*$F394*$G394*$H394*$N394*$AN$12)</f>
        <v>0</v>
      </c>
      <c r="AO394" s="130">
        <v>1</v>
      </c>
      <c r="AP394" s="127">
        <f>(AO394/12*2*$E394*$G394*$H394*$N394*$AP$11)+(AO394/12*10*$F394*$G394*$H394*$N394*$AP$11)</f>
        <v>104367.692352</v>
      </c>
      <c r="AQ394" s="127">
        <v>0</v>
      </c>
      <c r="AR394" s="127">
        <v>0</v>
      </c>
      <c r="AS394" s="123"/>
      <c r="AT394" s="123">
        <f>(AS394/12*2*$E394*$G394*$H394*$M394*$AT$11)+(AS394/12*10*$F394*$G394*$H394*$M394*$AT$11)</f>
        <v>0</v>
      </c>
      <c r="AU394" s="123"/>
      <c r="AV394" s="126">
        <f>(AU394/12*2*$E394*$G394*$H394*$M394*$AV$11)+(AU394/12*10*$F394*$G394*$H394*$M394*$AV$12)</f>
        <v>0</v>
      </c>
      <c r="AW394" s="123">
        <v>2</v>
      </c>
      <c r="AX394" s="123">
        <f>(AW394/12*2*$E394*$G394*$H394*$M394*$AX$11)+(AW394/12*10*$F394*$G394*$H394*$M394*$AX$12)</f>
        <v>181789.50943999997</v>
      </c>
      <c r="AY394" s="123">
        <v>6</v>
      </c>
      <c r="AZ394" s="123">
        <f>(AY394/12*2*$E394*$G394*$H394*$N394*$AZ$11)+(AY394/12*10*$F394*$G394*$H394*$N394*$AZ$11)</f>
        <v>626206.15411200002</v>
      </c>
      <c r="BA394" s="123"/>
      <c r="BB394" s="123">
        <f>(BA394/12*2*$E394*$G394*$H394*$N394*$BB$11)+(BA394/12*10*$F394*$G394*$H394*$N394*$BB$12)</f>
        <v>0</v>
      </c>
      <c r="BC394" s="123"/>
      <c r="BD394" s="126">
        <f>(BC394/12*2*$E394*$G394*$H394*$N394*$BD$11)+(BC394/12*10*$F394*$G394*$H394*$N394*$BD$12)</f>
        <v>0</v>
      </c>
      <c r="BE394" s="123">
        <v>1</v>
      </c>
      <c r="BF394" s="123">
        <f>(BE394/12*10*$F394*$G394*$H394*$N394*$BF$12)</f>
        <v>79699.311999999991</v>
      </c>
      <c r="BG394" s="123"/>
      <c r="BH394" s="123">
        <f>(BG394/12*2*$E394*$G394*$H394*$N394*$BH$11)+(BG394/12*10*$F394*$G394*$H394*$N394*$BH$11)</f>
        <v>0</v>
      </c>
      <c r="BI394" s="123">
        <v>2</v>
      </c>
      <c r="BJ394" s="126">
        <f>(BI394/12*2*$E394*$G394*$H394*$N394*$BJ$11)+(BI394/12*10*$F394*$G394*$H394*$N394*$BJ$11)</f>
        <v>227711.32876799998</v>
      </c>
      <c r="BK394" s="123"/>
      <c r="BL394" s="127">
        <f>(BK394/12*2*$E394*$G394*$H394*$N394*$BL$11)+(BK394/12*10*$F394*$G394*$H394*$N394*$BL$11)</f>
        <v>0</v>
      </c>
      <c r="BM394" s="123"/>
      <c r="BN394" s="123">
        <f>(BM394/12*2*$E394*$G394*$H394*$M394*$BN$11)+(BM394/12*10*$F394*$G394*$H394*$M394*$BN$11)</f>
        <v>0</v>
      </c>
      <c r="BO394" s="123"/>
      <c r="BP394" s="123">
        <f>(BO394/12*2*$E394*$G394*$H394*$M394*$BP$11)+(BO394/12*10*$F394*$G394*$H394*$M394*$BP$12)</f>
        <v>0</v>
      </c>
      <c r="BQ394" s="123"/>
      <c r="BR394" s="123">
        <f>(BQ394/12*2*$E394*$G394*$H394*$M394*$BR$11)+(BQ394/12*10*$F394*$G394*$H394*$M394*$BR$11)</f>
        <v>0</v>
      </c>
      <c r="BS394" s="123">
        <v>1</v>
      </c>
      <c r="BT394" s="123">
        <f>(BS394/12*2*$E394*$G394*$H394*$N394*$BT$11)+(BS394/12*10*$F394*$G394*$H394*$N394*$BT$11)</f>
        <v>94879.720319999993</v>
      </c>
      <c r="BU394" s="123"/>
      <c r="BV394" s="126">
        <f>(BU394/12*2*$E394*$G394*$H394*$M394*$BV$11)+(BU394/12*10*$F394*$G394*$H394*$M394*$BV$11)</f>
        <v>0</v>
      </c>
      <c r="BW394" s="123"/>
      <c r="BX394" s="123">
        <f>(BW394/12*2*$E394*$G394*$H394*$M394*$BX$11)+(BW394/12*10*$F394*$G394*$H394*$M394*$BX$11)</f>
        <v>0</v>
      </c>
      <c r="BY394" s="123">
        <v>1</v>
      </c>
      <c r="BZ394" s="123">
        <f>(BY394/12*2*$E394*$G394*$H394*$M394*$BZ$11)+(BY394/12*10*$F394*$G394*$H394*$M394*$BZ$11)</f>
        <v>79066.433599999989</v>
      </c>
      <c r="CA394" s="123">
        <v>1</v>
      </c>
      <c r="CB394" s="123">
        <f>(CA394/12*2*$E394*$G394*$H394*$M394*$CB$11)+(CA394/12*10*$F394*$G394*$H394*$M394*$CB$11)</f>
        <v>94879.720319999993</v>
      </c>
      <c r="CC394" s="123">
        <v>7</v>
      </c>
      <c r="CD394" s="123">
        <f>(CC394/12*2*$E394*$G394*$H394*$M394*$CD$11)+(CC394/12*10*$F394*$G394*$H394*$M394*$CD$11)</f>
        <v>553465.03520000004</v>
      </c>
      <c r="CE394" s="123">
        <v>17</v>
      </c>
      <c r="CF394" s="123">
        <f>(CE394/12*10*$F394*$G394*$H394*$N394*$CF$11)</f>
        <v>1354888.304</v>
      </c>
      <c r="CG394" s="132"/>
      <c r="CH394" s="123">
        <f>(CG394/12*2*$E394*$G394*$H394*$N394*$CH$11)+(CG394/12*10*$F394*$G394*$H394*$N394*$CH$11)</f>
        <v>0</v>
      </c>
      <c r="CI394" s="123"/>
      <c r="CJ394" s="127"/>
      <c r="CK394" s="123"/>
      <c r="CL394" s="123">
        <f>(CK394/12*2*$E394*$G394*$H394*$N394*$CL$11)+(CK394/12*10*$F394*$G394*$H394*$N394*$CL$12)</f>
        <v>0</v>
      </c>
      <c r="CM394" s="130"/>
      <c r="CN394" s="123">
        <f>(CM394/12*2*$E394*$G394*$H394*$N394*$CN$11)+(CM394/12*10*$F394*$G394*$H394*$N394*$CN$11)</f>
        <v>0</v>
      </c>
      <c r="CO394" s="123">
        <v>0</v>
      </c>
      <c r="CP394" s="123">
        <v>0</v>
      </c>
      <c r="CQ394" s="123"/>
      <c r="CR394" s="123">
        <f>(CQ394/12*2*$E394*$G394*$H394*$O394*$CR$11)+(CQ394/12*10*$F394*$G394*$H394*$O394*$CR$11)</f>
        <v>0</v>
      </c>
      <c r="CS394" s="123">
        <v>2</v>
      </c>
      <c r="CT394" s="133">
        <f>(CS394/12*2*$E394*$G394*$H394*$P394*$CT$11)+(CS394/12*10*$F394*$G394*$H394*$P394*$CT$11)</f>
        <v>290286.76335999998</v>
      </c>
      <c r="CU394" s="127"/>
      <c r="CV394" s="123">
        <f>(CU394*$E394*$G394*$H394*$M394*CV$11)/12*6+(CU394*$E394*$G394*$H394*1*CV$11)/12*6</f>
        <v>0</v>
      </c>
      <c r="CW394" s="126">
        <f t="shared" ref="CW394:CX398" si="527">SUM(Q394,S394,U394,W394,Y394,AA394,AC394,AE394,AG394,AM394,BQ394,AI394,AU394,CC394,AW394,AY394,AK394,BC394,AO394,AQ394,BE394,CE394,BG394,BI394,BK394,BS394,BM394,BO394,BU394,BW394,BY394,CA394,CG394,BA394,AS394,CI394,CK394,CM394,CO394,CQ394,CS394,CU394)</f>
        <v>80</v>
      </c>
      <c r="CX394" s="126">
        <f t="shared" si="527"/>
        <v>7981369.3370986674</v>
      </c>
    </row>
    <row r="395" spans="1:102" ht="22.5" customHeight="1" x14ac:dyDescent="0.25">
      <c r="A395" s="91"/>
      <c r="B395" s="116">
        <v>322</v>
      </c>
      <c r="C395" s="117" t="s">
        <v>908</v>
      </c>
      <c r="D395" s="161" t="s">
        <v>909</v>
      </c>
      <c r="E395" s="95">
        <v>28004</v>
      </c>
      <c r="F395" s="96">
        <v>29405</v>
      </c>
      <c r="G395" s="119">
        <v>3.51</v>
      </c>
      <c r="H395" s="110">
        <v>0.85</v>
      </c>
      <c r="I395" s="110">
        <v>0.8</v>
      </c>
      <c r="J395" s="203"/>
      <c r="K395" s="203"/>
      <c r="L395" s="63"/>
      <c r="M395" s="120">
        <v>1.4</v>
      </c>
      <c r="N395" s="120">
        <v>1.68</v>
      </c>
      <c r="O395" s="120">
        <v>2.23</v>
      </c>
      <c r="P395" s="121">
        <v>2.57</v>
      </c>
      <c r="Q395" s="204">
        <v>40</v>
      </c>
      <c r="R395" s="123">
        <f>(Q395/12*2*$E395*$G395*$H395*$M395*$R$11)+(Q395/12*10*$F395*$G395*$I395*$M395*$R$11)</f>
        <v>5096333.6424000002</v>
      </c>
      <c r="S395" s="124">
        <v>39</v>
      </c>
      <c r="T395" s="125">
        <f>(S395/12*2*$E395*$G395*$H395*$M395*$R$11)+(S395/12*10*$F395*$G395*$I395*$M395*$R$11)</f>
        <v>4968925.3013400007</v>
      </c>
      <c r="U395" s="123">
        <v>9</v>
      </c>
      <c r="V395" s="123">
        <f>(U395/12*2*$E395*$G395*$H395*$M395*$V$11)+(U395/12*10*$F395*$G395*$I395*$M395*$V$12)</f>
        <v>1398716.2425600002</v>
      </c>
      <c r="W395" s="123"/>
      <c r="X395" s="126">
        <f>(W395/12*2*$E395*$G395*$H395*$M395*$X$11)+(W395/12*10*$F395*$G395*$I395*$M395*$X$12)</f>
        <v>0</v>
      </c>
      <c r="Y395" s="123"/>
      <c r="Z395" s="123">
        <f>(Y395/12*2*$E395*$G395*$H395*$M395*$Z$11)+(Y395/12*10*$F395*$G395*$I395*$M395*$Z$12)</f>
        <v>0</v>
      </c>
      <c r="AA395" s="123"/>
      <c r="AB395" s="123">
        <f>(AA395/12*2*$E395*$G395*$H395*$M395*$AB$11)+(AA395/12*10*$F395*$G395*$I395*$M395*$AB$11)</f>
        <v>0</v>
      </c>
      <c r="AC395" s="123"/>
      <c r="AD395" s="123"/>
      <c r="AE395" s="123">
        <v>4</v>
      </c>
      <c r="AF395" s="127">
        <f>(AE395/12*2*$E395*$G395*$H395*$M395*$AF$11)+(AE395/12*10*$F395*$G395*$I395*$M395*$AF$11)</f>
        <v>509633.36423999997</v>
      </c>
      <c r="AG395" s="123">
        <f>15-2</f>
        <v>13</v>
      </c>
      <c r="AH395" s="126">
        <f>(AG395/12*2*$E395*$G395*$H395*$M395*$AH$11)+(AG395/12*10*$F395*$G395*$I395*$M395*$AH$11)</f>
        <v>1656308.4337799996</v>
      </c>
      <c r="AI395" s="130">
        <v>26</v>
      </c>
      <c r="AJ395" s="123">
        <f>(AI395/12*2*$E395*$G395*$H395*$M395*$AJ$11)+(AI395/12*5*$F395*$G395*$I395*$M395*$AJ$12)+(AI395/12*5*$F395*$G395*$I395*$M395*$AJ$13)</f>
        <v>3889864.840679999</v>
      </c>
      <c r="AK395" s="123">
        <v>5</v>
      </c>
      <c r="AL395" s="123">
        <f>(AK395/12*2*$E395*$G395*$H395*$N395*$AL$11)+(AK395/12*5*$F395*$G395*$I395*$N395*$AL$12)+(AK395/12*5*$F395*$G395*$I395*$N395*$AL$13)</f>
        <v>897661.11707999988</v>
      </c>
      <c r="AM395" s="132">
        <v>0</v>
      </c>
      <c r="AN395" s="123">
        <f>(AM395/12*2*$E395*$G395*$H395*$N395*$AN$11)+(AM395/12*10*$F395*$G395*$I395*$N395*$AN$12)</f>
        <v>0</v>
      </c>
      <c r="AO395" s="130"/>
      <c r="AP395" s="127">
        <f>(AO395/12*2*$E395*$G395*$H395*$N395*$AP$11)+(AO395/12*10*$F395*$G395*$I395*$N395*$AP$11)</f>
        <v>0</v>
      </c>
      <c r="AQ395" s="127">
        <v>0</v>
      </c>
      <c r="AR395" s="127">
        <v>0</v>
      </c>
      <c r="AS395" s="123"/>
      <c r="AT395" s="123"/>
      <c r="AU395" s="123"/>
      <c r="AV395" s="126"/>
      <c r="AW395" s="123">
        <v>3</v>
      </c>
      <c r="AX395" s="123">
        <f>(AW395/12*2*$E395*$G395*$H395*$M395*$AX$11)+(AW395/12*10*$F395*$G395*$I395*$M395*$AX$12)</f>
        <v>399633.21215999994</v>
      </c>
      <c r="AY395" s="123">
        <v>15</v>
      </c>
      <c r="AZ395" s="123">
        <f>(AY395/12*2*$E395*$G395*$H395*$N395*$AZ$11)+(AY395/12*10*$F395*$G395*$I395*$N395*$AZ$11)</f>
        <v>2293350.1390800001</v>
      </c>
      <c r="BA395" s="123"/>
      <c r="BB395" s="123">
        <f>(BA395/12*2*$E395*$G395*$H395*$N395*$BB$11)+(BA395/12*10*$F395*$G395*$I395*$N395*$BB$12)</f>
        <v>0</v>
      </c>
      <c r="BC395" s="123"/>
      <c r="BD395" s="126"/>
      <c r="BE395" s="123">
        <v>4</v>
      </c>
      <c r="BF395" s="123">
        <f>(BE395/12*10*$F395*$G395*$I395*$N395*$BF$12)</f>
        <v>462387.74399999995</v>
      </c>
      <c r="BG395" s="123">
        <v>2</v>
      </c>
      <c r="BH395" s="123">
        <f>(BG395/12*2*$E395*$G395*$H395*$N395*$BH$11)+(BG395/12*10*$F395*$G395*$I395*$N395*$BH$11)</f>
        <v>250183.65153599996</v>
      </c>
      <c r="BI395" s="123">
        <v>4</v>
      </c>
      <c r="BJ395" s="126">
        <f>(BI395/12*2*$E395*$G395*$H395*$N395*$BJ$11)+(BI395/12*10*$F395*$G395*$I395*$N395*$BJ$11)</f>
        <v>667156.4040959999</v>
      </c>
      <c r="BK395" s="123">
        <v>10</v>
      </c>
      <c r="BL395" s="127">
        <f>(BK395/12*2*$E395*$G395*$H395*$N395*$BL$11)+(BK395/12*10*$F395*$G395*$I395*$N395*$BL$11)</f>
        <v>1667891.0102399997</v>
      </c>
      <c r="BM395" s="123"/>
      <c r="BN395" s="123">
        <f>(BM395/12*2*$E395*$G395*$H395*$M395*$BN$11)+(BM395/12*10*$F395*$G395*$I395*$M395*$BN$11)</f>
        <v>0</v>
      </c>
      <c r="BO395" s="123"/>
      <c r="BP395" s="123">
        <f>(BO395/12*2*$E395*$G395*$H395*$M395*$BP$11)+(BO395/12*10*$F395*$G395*$I395*$M395*$BP$12)</f>
        <v>0</v>
      </c>
      <c r="BQ395" s="123"/>
      <c r="BR395" s="123">
        <f>(BQ395/12*2*$E395*$G395*$H395*$M395*$BR$11)+(BQ395/12*10*$F395*$G395*$I395*$M395*$BR$11)</f>
        <v>0</v>
      </c>
      <c r="BS395" s="123">
        <v>3</v>
      </c>
      <c r="BT395" s="123">
        <f>(BS395/12*2*$E395*$G395*$H395*$N395*$BT$11)+(BS395/12*10*$F395*$G395*$I395*$N395*$BT$11)</f>
        <v>416972.75255999994</v>
      </c>
      <c r="BU395" s="123"/>
      <c r="BV395" s="126">
        <f>(BU395/12*2*$E395*$G395*$H395*$M395*$BV$11)+(BU395/12*10*$F395*$G395*$I395*$M395*$BV$11)</f>
        <v>0</v>
      </c>
      <c r="BW395" s="123"/>
      <c r="BX395" s="123">
        <f>(BW395/12*2*$E395*$G395*$H395*$M395*$BX$11)+(BW395/12*10*$F395*$G395*$I395*$M395*$BX$11)</f>
        <v>0</v>
      </c>
      <c r="BY395" s="123">
        <v>1</v>
      </c>
      <c r="BZ395" s="123">
        <f>(BY395/12*2*$E395*$G395*$H395*$M395*$BZ$11)+(BY395/12*10*$F395*$G395*$I395*$M395*$BZ$11)</f>
        <v>115825.76459999998</v>
      </c>
      <c r="CA395" s="123">
        <v>3</v>
      </c>
      <c r="CB395" s="123">
        <f>(CA395/12*2*$E395*$G395*$H395*$M395*$CB$11)+(CA395/12*10*$F395*$G395*$I395*$M395*$CB$11)</f>
        <v>416972.75255999994</v>
      </c>
      <c r="CC395" s="123">
        <v>12</v>
      </c>
      <c r="CD395" s="123">
        <f>(CC395/12*2*$E395*$G395*$H395*$M395*$CD$11)+(CC395/12*10*$F395*$G395*$I395*$M395*$CD$11)</f>
        <v>1389909.1751999999</v>
      </c>
      <c r="CE395" s="123">
        <v>8</v>
      </c>
      <c r="CF395" s="123">
        <f>(CE395/12*10*$F395*$G395*$I395*$N395*$CF$11)</f>
        <v>924775.4879999999</v>
      </c>
      <c r="CG395" s="132"/>
      <c r="CH395" s="123">
        <f>(CG395/12*2*$E395*$G395*$H395*$N395*$CH$11)+(CG395/12*10*$F395*$G395*$I395*$N395*$CH$11)</f>
        <v>0</v>
      </c>
      <c r="CI395" s="123"/>
      <c r="CJ395" s="127"/>
      <c r="CK395" s="123"/>
      <c r="CL395" s="123">
        <f>(CK395/12*2*$E395*$G395*$H395*$N395*$CL$11)+(CK395/12*10*$F395*$G395*$I395*$N395*$CL$12)</f>
        <v>0</v>
      </c>
      <c r="CM395" s="130"/>
      <c r="CN395" s="123">
        <f>(CM395/12*2*$E395*$G395*$H395*$N395*$CN$11)+(CM395/12*10*$F395*$G395*$I395*$N395*$CN$11)</f>
        <v>0</v>
      </c>
      <c r="CO395" s="123">
        <v>0</v>
      </c>
      <c r="CP395" s="123">
        <v>0</v>
      </c>
      <c r="CQ395" s="123"/>
      <c r="CR395" s="123">
        <f>(CQ395/12*2*$E395*$G395*$H395*$O395*$CR$11)+(CQ395/12*10*$F395*$G395*$I395*$O395*$CR$11)</f>
        <v>0</v>
      </c>
      <c r="CS395" s="123"/>
      <c r="CT395" s="133">
        <f>(CS395/12*2*$E395*$G395*$H395*$P395*$CT$11)+(CS395/12*10*$F395*$G395*$I395*$P395*$CT$11)</f>
        <v>0</v>
      </c>
      <c r="CU395" s="127"/>
      <c r="CV395" s="123"/>
      <c r="CW395" s="126">
        <f t="shared" si="527"/>
        <v>201</v>
      </c>
      <c r="CX395" s="126">
        <f t="shared" si="527"/>
        <v>27422501.036111996</v>
      </c>
    </row>
    <row r="396" spans="1:102" ht="22.5" customHeight="1" x14ac:dyDescent="0.25">
      <c r="A396" s="91"/>
      <c r="B396" s="116">
        <v>323</v>
      </c>
      <c r="C396" s="117" t="s">
        <v>910</v>
      </c>
      <c r="D396" s="161" t="s">
        <v>911</v>
      </c>
      <c r="E396" s="95">
        <v>28004</v>
      </c>
      <c r="F396" s="96">
        <v>29405</v>
      </c>
      <c r="G396" s="119">
        <v>4.0199999999999996</v>
      </c>
      <c r="H396" s="107">
        <v>1</v>
      </c>
      <c r="I396" s="108"/>
      <c r="J396" s="108"/>
      <c r="K396" s="108"/>
      <c r="L396" s="63"/>
      <c r="M396" s="120">
        <v>1.4</v>
      </c>
      <c r="N396" s="120">
        <v>1.68</v>
      </c>
      <c r="O396" s="120">
        <v>2.23</v>
      </c>
      <c r="P396" s="121">
        <v>2.57</v>
      </c>
      <c r="Q396" s="204">
        <v>2</v>
      </c>
      <c r="R396" s="123">
        <f>(Q396/12*2*$E396*$G396*$H396*$M396*$R$11)+(Q396/12*10*$F396*$G396*$H396*$M396*$R$11)</f>
        <v>361189.84439999994</v>
      </c>
      <c r="S396" s="124">
        <f>6-3</f>
        <v>3</v>
      </c>
      <c r="T396" s="125">
        <f>(S396/12*2*$E396*$G396*$H396*$M396*$R$11)+(S396/12*10*$F396*$G396*$H396*$M396*$R$11)</f>
        <v>541784.76659999997</v>
      </c>
      <c r="U396" s="123"/>
      <c r="V396" s="123">
        <f>(U396/12*2*$E396*$G396*$H396*$M396*$V$11)+(U396/12*10*$F396*$G396*$H396*$M396*$V$12)</f>
        <v>0</v>
      </c>
      <c r="W396" s="123"/>
      <c r="X396" s="126">
        <f>(W396/12*2*$E396*$G396*$H396*$M396*$X$11)+(W396/12*10*$F396*$G396*$H396*$M396*$X$12)</f>
        <v>0</v>
      </c>
      <c r="Y396" s="123"/>
      <c r="Z396" s="123">
        <f>(Y396/12*2*$E396*$G396*$H396*$M396*$Z$11)+(Y396/12*10*$F396*$G396*$H396*$M396*$Z$12)</f>
        <v>0</v>
      </c>
      <c r="AA396" s="123"/>
      <c r="AB396" s="123">
        <f>(AA396/12*2*$E396*$G396*$H396*$M396*$AB$11)+(AA396/12*10*$F396*$G396*$H396*$M396*$AB$11)</f>
        <v>0</v>
      </c>
      <c r="AC396" s="123"/>
      <c r="AD396" s="123"/>
      <c r="AE396" s="123">
        <v>2</v>
      </c>
      <c r="AF396" s="123">
        <f>(AE396/12*2*$E396*$G396*$H396*$M396*$AF$11)+(AE396/12*10*$F396*$G396*$H396*$M396*$AF$11)</f>
        <v>361189.84439999994</v>
      </c>
      <c r="AG396" s="135">
        <v>0</v>
      </c>
      <c r="AH396" s="136">
        <f>(AG396/12*2*$E396*$G396*$H396*$M396*$AH$11)+(AG396/12*10*$F396*$G396*$H396*$M396*$AH$11)</f>
        <v>0</v>
      </c>
      <c r="AI396" s="123"/>
      <c r="AJ396" s="123">
        <f>(AI396/12*2*$E396*$G396*$H396*$M396*$AJ$11)+(AI396/12*5*$F396*$G396*$H396*$M396*$AJ$12)+(AI396/12*5*$F396*$G396*$H396*$M396*$AJ$13)</f>
        <v>0</v>
      </c>
      <c r="AK396" s="123">
        <v>2</v>
      </c>
      <c r="AL396" s="123">
        <f>(AK396/12*2*$E396*$G396*$H396*$N396*$AL$11)+(AK396/12*5*$F396*$G396*$H396*$N396*$AL$12)++(AK396/12*5*$F396*$G396*$H396*$N396*$AL$13)</f>
        <v>508923.04343999992</v>
      </c>
      <c r="AM396" s="132">
        <v>0</v>
      </c>
      <c r="AN396" s="123">
        <f>(AM396/12*2*$E396*$G396*$H396*$N396*$AN$11)+(AM396/12*10*$F396*$G396*$H396*$N396*$AN$12)</f>
        <v>0</v>
      </c>
      <c r="AO396" s="130"/>
      <c r="AP396" s="127">
        <f>(AO396/12*2*$E396*$G396*$H396*$N396*$AP$11)+(AO396/12*10*$F396*$G396*$H396*$N396*$AP$11)</f>
        <v>0</v>
      </c>
      <c r="AQ396" s="127">
        <v>0</v>
      </c>
      <c r="AR396" s="127">
        <v>0</v>
      </c>
      <c r="AS396" s="123"/>
      <c r="AT396" s="123">
        <f>(AS396/12*2*$E396*$G396*$H396*$M396*$AT$11)+(AS396/12*10*$F396*$G396*$H396*$M396*$AT$11)</f>
        <v>0</v>
      </c>
      <c r="AU396" s="123"/>
      <c r="AV396" s="126">
        <f>(AU396/12*2*$E396*$G396*$H396*$M396*$AV$11)+(AU396/12*10*$F396*$G396*$H396*$M396*$AV$12)</f>
        <v>0</v>
      </c>
      <c r="AW396" s="123"/>
      <c r="AX396" s="123">
        <f>(AW396/12*2*$E396*$G396*$H396*$M396*$AX$11)+(AW396/12*10*$F396*$G396*$H396*$M396*$AX$12)</f>
        <v>0</v>
      </c>
      <c r="AY396" s="123">
        <v>1</v>
      </c>
      <c r="AZ396" s="123">
        <f>(AY396/12*2*$E396*$G396*$H396*$N396*$AZ$11)+(AY396/12*10*$F396*$G396*$H396*$N396*$AZ$11)</f>
        <v>216713.90663999997</v>
      </c>
      <c r="BA396" s="123"/>
      <c r="BB396" s="123">
        <f>(BA396/12*2*$E396*$G396*$H396*$N396*$BB$11)+(BA396/12*10*$F396*$G396*$H396*$N396*$BB$12)</f>
        <v>0</v>
      </c>
      <c r="BC396" s="123"/>
      <c r="BD396" s="126">
        <f>(BC396/12*2*$E396*$G396*$H396*$N396*$BD$11)+(BC396/12*10*$F396*$G396*$H396*$N396*$BD$12)</f>
        <v>0</v>
      </c>
      <c r="BE396" s="123"/>
      <c r="BF396" s="123">
        <f>(BE396/12*10*$F396*$G396*$H396*$N396*$BF$12)</f>
        <v>0</v>
      </c>
      <c r="BG396" s="123"/>
      <c r="BH396" s="123">
        <f>(BG396/12*2*$E396*$G396*$H396*$N396*$BH$11)+(BG396/12*10*$F396*$G396*$H396*$N396*$BH$11)</f>
        <v>0</v>
      </c>
      <c r="BI396" s="123"/>
      <c r="BJ396" s="126">
        <f>(BI396/12*2*$E396*$G396*$H396*$N396*$BJ$11)+(BI396/12*10*$F396*$G396*$H396*$N396*$BJ$11)</f>
        <v>0</v>
      </c>
      <c r="BK396" s="123"/>
      <c r="BL396" s="127">
        <f>(BK396/12*2*$E396*$G396*$H396*$N396*$BL$11)+(BK396/12*10*$F396*$G396*$H396*$N396*$BL$11)</f>
        <v>0</v>
      </c>
      <c r="BM396" s="123"/>
      <c r="BN396" s="123">
        <f>(BM396/12*2*$E396*$G396*$H396*$M396*$BN$11)+(BM396/12*10*$F396*$G396*$H396*$M396*$BN$11)</f>
        <v>0</v>
      </c>
      <c r="BO396" s="123"/>
      <c r="BP396" s="123">
        <f>(BO396/12*2*$E396*$G396*$H396*$M396*$BP$11)+(BO396/12*10*$F396*$G396*$H396*$M396*$BP$12)</f>
        <v>0</v>
      </c>
      <c r="BQ396" s="123"/>
      <c r="BR396" s="123">
        <f>(BQ396/12*2*$E396*$G396*$H396*$M396*$BR$11)+(BQ396/12*10*$F396*$G396*$H396*$M396*$BR$11)</f>
        <v>0</v>
      </c>
      <c r="BS396" s="123"/>
      <c r="BT396" s="123">
        <f>(BS396/12*2*$E396*$G396*$H396*$N396*$BT$11)+(BS396/12*10*$F396*$G396*$H396*$N396*$BT$11)</f>
        <v>0</v>
      </c>
      <c r="BU396" s="123"/>
      <c r="BV396" s="126">
        <f>(BU396/12*2*$E396*$G396*$H396*$M396*$BV$11)+(BU396/12*10*$F396*$G396*$H396*$M396*$BV$11)</f>
        <v>0</v>
      </c>
      <c r="BW396" s="123"/>
      <c r="BX396" s="123">
        <f>(BW396/12*2*$E396*$G396*$H396*$M396*$BX$11)+(BW396/12*10*$F396*$G396*$H396*$M396*$BX$11)</f>
        <v>0</v>
      </c>
      <c r="BY396" s="123"/>
      <c r="BZ396" s="123">
        <f>(BY396/12*2*$E396*$G396*$H396*$M396*$BZ$11)+(BY396/12*10*$F396*$G396*$H396*$M396*$BZ$11)</f>
        <v>0</v>
      </c>
      <c r="CA396" s="123"/>
      <c r="CB396" s="123">
        <f>(CA396/12*2*$E396*$G396*$H396*$M396*$CB$11)+(CA396/12*10*$F396*$G396*$H396*$M396*$CB$11)</f>
        <v>0</v>
      </c>
      <c r="CC396" s="123"/>
      <c r="CD396" s="123">
        <f>(CC396/12*2*$E396*$G396*$H396*$M396*$CD$11)+(CC396/12*10*$F396*$G396*$H396*$M396*$CD$11)</f>
        <v>0</v>
      </c>
      <c r="CE396" s="123"/>
      <c r="CF396" s="123">
        <f>(CE396/12*10*$F396*$G396*$H396*$N396*$CF$11)</f>
        <v>0</v>
      </c>
      <c r="CG396" s="132"/>
      <c r="CH396" s="123">
        <f>(CG396/12*2*$E396*$G396*$H396*$N396*$CH$11)+(CG396/12*10*$F396*$G396*$H396*$N396*$CH$11)</f>
        <v>0</v>
      </c>
      <c r="CI396" s="123"/>
      <c r="CJ396" s="127"/>
      <c r="CK396" s="123"/>
      <c r="CL396" s="123">
        <f>(CK396/12*2*$E396*$G396*$H396*$N396*$CL$11)+(CK396/12*10*$F396*$G396*$H396*$N396*$CL$12)</f>
        <v>0</v>
      </c>
      <c r="CM396" s="130"/>
      <c r="CN396" s="123">
        <f>(CM396/12*2*$E396*$G396*$H396*$N396*$CN$11)+(CM396/12*10*$F396*$G396*$H396*$N396*$CN$11)</f>
        <v>0</v>
      </c>
      <c r="CO396" s="123">
        <v>0</v>
      </c>
      <c r="CP396" s="123">
        <v>0</v>
      </c>
      <c r="CQ396" s="123"/>
      <c r="CR396" s="123">
        <f>(CQ396/12*2*$E396*$G396*$H396*$O396*$CR$11)+(CQ396/12*10*$F396*$G396*$H396*$O396*$CR$11)</f>
        <v>0</v>
      </c>
      <c r="CS396" s="123"/>
      <c r="CT396" s="133">
        <f>(CS396/12*2*$E396*$G396*$H396*$P396*$CT$11)+(CS396/12*10*$F396*$G396*$H396*$P396*$CT$11)</f>
        <v>0</v>
      </c>
      <c r="CU396" s="127"/>
      <c r="CV396" s="123">
        <f>(CU396*$E396*$G396*$H396*$M396*CV$11)/12*6+(CU396*$E396*$G396*$H396*1*CV$11)/12*6</f>
        <v>0</v>
      </c>
      <c r="CW396" s="126">
        <f t="shared" si="527"/>
        <v>10</v>
      </c>
      <c r="CX396" s="126">
        <f t="shared" si="527"/>
        <v>1989801.4054799997</v>
      </c>
    </row>
    <row r="397" spans="1:102" ht="30" customHeight="1" x14ac:dyDescent="0.25">
      <c r="A397" s="91"/>
      <c r="B397" s="116">
        <v>324</v>
      </c>
      <c r="C397" s="117" t="s">
        <v>912</v>
      </c>
      <c r="D397" s="161" t="s">
        <v>913</v>
      </c>
      <c r="E397" s="95">
        <v>28004</v>
      </c>
      <c r="F397" s="96">
        <v>29405</v>
      </c>
      <c r="G397" s="119">
        <v>0.84</v>
      </c>
      <c r="H397" s="110">
        <v>0.9</v>
      </c>
      <c r="I397" s="110">
        <v>0.85</v>
      </c>
      <c r="J397" s="108"/>
      <c r="K397" s="108"/>
      <c r="L397" s="63"/>
      <c r="M397" s="120">
        <v>1.4</v>
      </c>
      <c r="N397" s="120">
        <v>1.68</v>
      </c>
      <c r="O397" s="120">
        <v>2.23</v>
      </c>
      <c r="P397" s="121">
        <v>2.57</v>
      </c>
      <c r="Q397" s="204">
        <v>45</v>
      </c>
      <c r="R397" s="123">
        <f>(Q397/12*2*$E397*$G397*$H397*$M397*$R$11)+(Q397/12*10*$F397*$G397*$I397*$M397*$R$11)</f>
        <v>1456996.3946999998</v>
      </c>
      <c r="S397" s="124">
        <v>41</v>
      </c>
      <c r="T397" s="125">
        <f>(S397/12*2*$E397*$G397*$H397*$M397*$R$11)+(S397/12*10*$F397*$G397*$I397*$M397*$R$11)</f>
        <v>1327485.6040599998</v>
      </c>
      <c r="U397" s="123">
        <v>9</v>
      </c>
      <c r="V397" s="123">
        <f>(U397/12*2*$E397*$G397*$H397*$M397*$V$11)+(U397/12*10*$F397*$G397*$I397*$M397*$V$12)</f>
        <v>355440.35960999998</v>
      </c>
      <c r="W397" s="123"/>
      <c r="X397" s="126">
        <f>(W397/12*2*$E397*$G397*$H397*$M397*$X$11)+(W397/12*10*$F397*$G397*$I397*$M397*$X$12)</f>
        <v>0</v>
      </c>
      <c r="Y397" s="123"/>
      <c r="Z397" s="123">
        <f>(Y397/12*2*$E397*$G397*$H397*$M397*$Z$11)+(Y397/12*10*$F397*$G397*$I397*$M397*$Z$12)</f>
        <v>0</v>
      </c>
      <c r="AA397" s="123"/>
      <c r="AB397" s="123">
        <f>(AA397/12*2*$E397*$G397*$H397*$M397*$AB$11)+(AA397/12*10*$F397*$G397*$I397*$M397*$AB$11)</f>
        <v>0</v>
      </c>
      <c r="AC397" s="123"/>
      <c r="AD397" s="123"/>
      <c r="AE397" s="123"/>
      <c r="AF397" s="127">
        <f>(AE397/12*2*$E397*$G397*$H397*$M397*$AF$11)+(AE397/12*10*$F397*$G397*$I397*$M397*$AF$11)</f>
        <v>0</v>
      </c>
      <c r="AG397" s="123">
        <v>8</v>
      </c>
      <c r="AH397" s="126">
        <f>(AG397/12*2*$E397*$G397*$H397*$M397*$AH$11)+(AG397/12*10*$F397*$G397*$I397*$M397*$AH$11)</f>
        <v>259021.58127999993</v>
      </c>
      <c r="AI397" s="130">
        <v>16</v>
      </c>
      <c r="AJ397" s="123">
        <f>(AI397/12*2*$E397*$G397*$H397*$M397*$AJ$11)+(AI397/12*5*$F397*$G397*$I397*$M397*$AJ$12)+(AI397/12*5*$F397*$G397*$I397*$M397*$AJ$13)</f>
        <v>608313.73007999978</v>
      </c>
      <c r="AK397" s="123">
        <f>50+2</f>
        <v>52</v>
      </c>
      <c r="AL397" s="123">
        <f>(AK397/12*2*$E397*$G397*$H397*$N397*$AL$11)+(AK397/12*5*$F397*$G397*$I397*$N397*$AL$12)+(AK397/12*5*$F397*$G397*$I397*$N397*$AL$13)</f>
        <v>2372423.5473119994</v>
      </c>
      <c r="AM397" s="132"/>
      <c r="AN397" s="123">
        <f>(AM397/12*2*$E397*$G397*$H397*$N397*$AN$11)+(AM397/12*10*$F397*$G397*$I397*$N397*$AN$12)</f>
        <v>0</v>
      </c>
      <c r="AO397" s="130">
        <v>1</v>
      </c>
      <c r="AP397" s="127">
        <f>(AO397/12*2*$E397*$G397*$H397*$N397*$AP$11)+(AO397/12*10*$F397*$G397*$I397*$N397*$AP$11)</f>
        <v>38853.237191999993</v>
      </c>
      <c r="AQ397" s="127">
        <v>0</v>
      </c>
      <c r="AR397" s="127">
        <v>0</v>
      </c>
      <c r="AS397" s="123"/>
      <c r="AT397" s="123"/>
      <c r="AU397" s="123"/>
      <c r="AV397" s="126"/>
      <c r="AW397" s="123">
        <v>2</v>
      </c>
      <c r="AX397" s="123">
        <f>(AW397/12*2*$E397*$G397*$H397*$M397*$AX$11)+(AW397/12*10*$F397*$G397*$I397*$M397*$AX$12)</f>
        <v>67702.925639999972</v>
      </c>
      <c r="AY397" s="123">
        <v>5</v>
      </c>
      <c r="AZ397" s="123">
        <f>(AY397/12*2*$E397*$G397*$H397*$N397*$AZ$11)+(AY397/12*10*$F397*$G397*$I397*$N397*$AZ$11)</f>
        <v>194266.18596</v>
      </c>
      <c r="BA397" s="123"/>
      <c r="BB397" s="123">
        <f>(BA397/12*2*$E397*$G397*$H397*$N397*$BB$11)+(BA397/12*10*$F397*$G397*$I397*$N397*$BB$12)</f>
        <v>0</v>
      </c>
      <c r="BC397" s="123"/>
      <c r="BD397" s="126"/>
      <c r="BE397" s="123"/>
      <c r="BF397" s="123">
        <f>(BE397/12*10*$F397*$G397*$I397*$N397*$BF$12)</f>
        <v>0</v>
      </c>
      <c r="BG397" s="123"/>
      <c r="BH397" s="123">
        <f>(BG397/12*2*$E397*$G397*$H397*$N397*$BH$11)+(BG397/12*10*$F397*$G397*$I397*$N397*$BH$11)</f>
        <v>0</v>
      </c>
      <c r="BI397" s="123">
        <v>5</v>
      </c>
      <c r="BJ397" s="126">
        <f>(BI397/12*2*$E397*$G397*$H397*$N397*$BJ$11)+(BI397/12*10*$F397*$G397*$I397*$N397*$BJ$11)</f>
        <v>211926.74831999998</v>
      </c>
      <c r="BK397" s="123">
        <v>8</v>
      </c>
      <c r="BL397" s="127">
        <f>(BK397/12*2*$E397*$G397*$H397*$N397*$BL$11)+(BK397/12*10*$F397*$G397*$I397*$N397*$BL$11)</f>
        <v>339082.79731199989</v>
      </c>
      <c r="BM397" s="123"/>
      <c r="BN397" s="123">
        <f>(BM397/12*2*$E397*$G397*$H397*$M397*$BN$11)+(BM397/12*10*$F397*$G397*$I397*$M397*$BN$11)</f>
        <v>0</v>
      </c>
      <c r="BO397" s="123"/>
      <c r="BP397" s="123">
        <f>(BO397/12*2*$E397*$G397*$H397*$M397*$BP$11)+(BO397/12*10*$F397*$G397*$I397*$M397*$BP$12)</f>
        <v>0</v>
      </c>
      <c r="BQ397" s="123"/>
      <c r="BR397" s="123">
        <f>(BQ397/12*2*$E397*$G397*$H397*$M397*$BR$11)+(BQ397/12*10*$F397*$G397*$I397*$M397*$BR$11)</f>
        <v>0</v>
      </c>
      <c r="BS397" s="123"/>
      <c r="BT397" s="123">
        <f>(BS397/12*2*$E397*$G397*$H397*$N397*$BT$11)+(BS397/12*10*$F397*$G397*$I397*$N397*$BT$11)</f>
        <v>0</v>
      </c>
      <c r="BU397" s="123"/>
      <c r="BV397" s="126">
        <f>(BU397/12*2*$E397*$G397*$H397*$M397*$BV$11)+(BU397/12*10*$F397*$G397*$I397*$M397*$BV$11)</f>
        <v>0</v>
      </c>
      <c r="BW397" s="123"/>
      <c r="BX397" s="123">
        <f>(BW397/12*2*$E397*$G397*$H397*$M397*$BX$11)+(BW397/12*10*$F397*$G397*$I397*$M397*$BX$11)</f>
        <v>0</v>
      </c>
      <c r="BY397" s="123"/>
      <c r="BZ397" s="123">
        <f>(BY397/12*2*$E397*$G397*$H397*$M397*$BZ$11)+(BY397/12*10*$F397*$G397*$I397*$M397*$BZ$11)</f>
        <v>0</v>
      </c>
      <c r="CA397" s="123">
        <v>1</v>
      </c>
      <c r="CB397" s="123">
        <f>(CA397/12*2*$E397*$G397*$H397*$M397*$CB$11)+(CA397/12*10*$F397*$G397*$I397*$M397*$CB$11)</f>
        <v>35321.124719999985</v>
      </c>
      <c r="CC397" s="123"/>
      <c r="CD397" s="123">
        <f>(CC397/12*2*$E397*$G397*$H397*$M397*$CD$11)+(CC397/12*10*$F397*$G397*$I397*$M397*$CD$11)</f>
        <v>0</v>
      </c>
      <c r="CE397" s="123"/>
      <c r="CF397" s="123">
        <f>(CE397/12*10*$F397*$G397*$I397*$N397*$CF$11)</f>
        <v>0</v>
      </c>
      <c r="CG397" s="132"/>
      <c r="CH397" s="123">
        <f>(CG397/12*2*$E397*$G397*$H397*$N397*$CH$11)+(CG397/12*10*$F397*$G397*$I397*$N397*$CH$11)</f>
        <v>0</v>
      </c>
      <c r="CI397" s="123"/>
      <c r="CJ397" s="127"/>
      <c r="CK397" s="123"/>
      <c r="CL397" s="123">
        <f>(CK397/12*2*$E397*$G397*$H397*$N397*$CL$11)+(CK397/12*10*$F397*$G397*$I397*$N397*$CL$12)</f>
        <v>0</v>
      </c>
      <c r="CM397" s="130"/>
      <c r="CN397" s="123">
        <f>(CM397/12*2*$E397*$G397*$H397*$N397*$CN$11)+(CM397/12*10*$F397*$G397*$I397*$N397*$CN$11)</f>
        <v>0</v>
      </c>
      <c r="CO397" s="123">
        <v>0</v>
      </c>
      <c r="CP397" s="123">
        <v>0</v>
      </c>
      <c r="CQ397" s="123"/>
      <c r="CR397" s="123">
        <f>(CQ397/12*2*$E397*$G397*$H397*$O397*$CR$11)+(CQ397/12*10*$F397*$G397*$I397*$O397*$CR$11)</f>
        <v>0</v>
      </c>
      <c r="CS397" s="123">
        <v>1</v>
      </c>
      <c r="CT397" s="133">
        <f>(CS397/12*2*$E397*$G397*$H397*$P397*$CT$11)+(CS397/12*10*$F397*$G397*$I397*$P397*$CT$11)</f>
        <v>54032.911029999981</v>
      </c>
      <c r="CU397" s="127"/>
      <c r="CV397" s="123"/>
      <c r="CW397" s="126">
        <f t="shared" si="527"/>
        <v>194</v>
      </c>
      <c r="CX397" s="126">
        <f t="shared" si="527"/>
        <v>7320867.1472159997</v>
      </c>
    </row>
    <row r="398" spans="1:102" ht="45" x14ac:dyDescent="0.25">
      <c r="A398" s="91"/>
      <c r="B398" s="116">
        <v>325</v>
      </c>
      <c r="C398" s="117" t="s">
        <v>914</v>
      </c>
      <c r="D398" s="161" t="s">
        <v>915</v>
      </c>
      <c r="E398" s="95">
        <v>28004</v>
      </c>
      <c r="F398" s="96">
        <v>29405</v>
      </c>
      <c r="G398" s="107">
        <v>0.5</v>
      </c>
      <c r="H398" s="107">
        <v>1</v>
      </c>
      <c r="I398" s="108"/>
      <c r="J398" s="108"/>
      <c r="K398" s="108"/>
      <c r="L398" s="63"/>
      <c r="M398" s="120">
        <v>1.4</v>
      </c>
      <c r="N398" s="120">
        <v>1.68</v>
      </c>
      <c r="O398" s="120">
        <v>2.23</v>
      </c>
      <c r="P398" s="121">
        <v>2.57</v>
      </c>
      <c r="Q398" s="204">
        <v>27</v>
      </c>
      <c r="R398" s="123">
        <f>(Q398/12*2*$E398*$G398*$H398*$M398*$R$11)+(Q398/12*10*$F398*$G398*$H398*$M398*$R$11)</f>
        <v>606475.48499999999</v>
      </c>
      <c r="S398" s="124">
        <v>5</v>
      </c>
      <c r="T398" s="125">
        <f>(S398/12*2*$E398*$G398*$H398*$M398*$R$11)+(S398/12*10*$F398*$G398*$H398*$M398*$R$11)</f>
        <v>112310.27500000001</v>
      </c>
      <c r="U398" s="123">
        <v>30</v>
      </c>
      <c r="V398" s="123">
        <f>(U398/12*2*$E398*$G398*$H398*$M398*$V$11)+(U398/12*10*$F398*$G398*$H398*$M398*$V$12)</f>
        <v>821620.97499999998</v>
      </c>
      <c r="W398" s="123"/>
      <c r="X398" s="126">
        <f>(W398/12*2*$E398*$G398*$H398*$M398*$X$11)+(W398/12*10*$F398*$G398*$H398*$M398*$X$12)</f>
        <v>0</v>
      </c>
      <c r="Y398" s="123">
        <v>6</v>
      </c>
      <c r="Z398" s="123">
        <f>(Y398/12*2*$E398*$G398*$H398*$M398*$Z$11)+(Y398/12*10*$F398*$G398*$H398*$M398*$Z$12)</f>
        <v>164324.19500000001</v>
      </c>
      <c r="AA398" s="123"/>
      <c r="AB398" s="123">
        <f>(AA398/12*2*$E398*$G398*$H398*$M398*$AB$11)+(AA398/12*10*$F398*$G398*$H398*$M398*$AB$11)</f>
        <v>0</v>
      </c>
      <c r="AC398" s="123"/>
      <c r="AD398" s="123"/>
      <c r="AE398" s="123"/>
      <c r="AF398" s="127">
        <f>(AE398/12*2*$E398*$G398*$H398*$M398*$AF$11)+(AE398/12*10*$F398*$G398*$H398*$M398*$AF$11)</f>
        <v>0</v>
      </c>
      <c r="AG398" s="123">
        <f>98+12</f>
        <v>110</v>
      </c>
      <c r="AH398" s="126">
        <f>(AG398/12*2*$E398*$G398*$H398*$M398*$AH$11)+(AG398/12*10*$F398*$G398*$H398*$M398*$AH$11)</f>
        <v>2470826.0499999998</v>
      </c>
      <c r="AI398" s="130">
        <v>3</v>
      </c>
      <c r="AJ398" s="123">
        <f>(AI398/12*2*$E398*$G398*$H398*$M398*$AJ$11)+(AI398/12*5*$F398*$G398*$H398*$M398*$AJ$12)+(AI398/12*5*$F398*$G398*$H398*$M398*$AJ$13)</f>
        <v>79123.607499999998</v>
      </c>
      <c r="AK398" s="123">
        <v>5</v>
      </c>
      <c r="AL398" s="123">
        <f>(AK398/12*2*$E398*$G398*$H398*$N398*$AL$11)+(AK398/12*5*$F398*$G398*$H398*$N398*$AL$12)++(AK398/12*5*$F398*$G398*$H398*$N398*$AL$13)</f>
        <v>158247.215</v>
      </c>
      <c r="AM398" s="132">
        <v>12</v>
      </c>
      <c r="AN398" s="123">
        <f>(AM398/12*2*$E398*$G398*$H398*$N398*$AN$11)+(AM398/12*10*$F398*$G398*$H398*$N398*$AN$12)</f>
        <v>394378.06800000003</v>
      </c>
      <c r="AO398" s="130">
        <v>1</v>
      </c>
      <c r="AP398" s="127">
        <f>(AO398/12*2*$E398*$G398*$H398*$N398*$AP$11)+(AO398/12*10*$F398*$G398*$H398*$N398*$AP$11)</f>
        <v>26954.466</v>
      </c>
      <c r="AQ398" s="127">
        <v>3</v>
      </c>
      <c r="AR398" s="127">
        <v>78921.62</v>
      </c>
      <c r="AS398" s="123"/>
      <c r="AT398" s="123">
        <f>(AS398/12*2*$E398*$G398*$H398*$M398*$AT$11)+(AS398/12*10*$F398*$G398*$H398*$M398*$AT$11)</f>
        <v>0</v>
      </c>
      <c r="AU398" s="123"/>
      <c r="AV398" s="126">
        <f>(AU398/12*2*$E398*$G398*$H398*$M398*$AV$11)+(AU398/12*10*$F398*$G398*$H398*$M398*$AV$12)</f>
        <v>0</v>
      </c>
      <c r="AW398" s="123">
        <v>3</v>
      </c>
      <c r="AX398" s="123">
        <f>(AW398/12*2*$E398*$G398*$H398*$M398*$AX$11)+(AW398/12*10*$F398*$G398*$H398*$M398*$AX$12)</f>
        <v>70424.654999999999</v>
      </c>
      <c r="AY398" s="123">
        <f>7+30</f>
        <v>37</v>
      </c>
      <c r="AZ398" s="123">
        <f>(AY398/12*2*$E398*$G398*$H398*$N398*$AZ$11)+(AY398/12*10*$F398*$G398*$H398*$N398*$AZ$11)</f>
        <v>997315.24200000009</v>
      </c>
      <c r="BA398" s="123"/>
      <c r="BB398" s="123">
        <f>(BA398/12*2*$E398*$G398*$H398*$N398*$BB$11)+(BA398/12*10*$F398*$G398*$H398*$N398*$BB$12)</f>
        <v>0</v>
      </c>
      <c r="BC398" s="123"/>
      <c r="BD398" s="126">
        <f>(BC398/12*2*$E398*$G398*$H398*$N398*$BD$11)+(BC398/12*10*$F398*$G398*$H398*$N398*$BD$12)</f>
        <v>0</v>
      </c>
      <c r="BE398" s="123">
        <v>5</v>
      </c>
      <c r="BF398" s="123">
        <f>(BE398/12*10*$F398*$G398*$H398*$N398*$BF$12)</f>
        <v>102917.5</v>
      </c>
      <c r="BG398" s="123">
        <v>9</v>
      </c>
      <c r="BH398" s="123">
        <f>(BG398/12*2*$E398*$G398*$H398*$N398*$BH$11)+(BG398/12*10*$F398*$G398*$H398*$N398*$BH$11)</f>
        <v>198482.886</v>
      </c>
      <c r="BI398" s="123">
        <v>8</v>
      </c>
      <c r="BJ398" s="126">
        <f>(BI398/12*2*$E398*$G398*$H398*$N398*$BJ$11)+(BI398/12*10*$F398*$G398*$H398*$N398*$BJ$11)</f>
        <v>235238.97599999994</v>
      </c>
      <c r="BK398" s="123"/>
      <c r="BL398" s="127">
        <f>(BK398/12*2*$E398*$G398*$H398*$N398*$BL$11)+(BK398/12*10*$F398*$G398*$H398*$N398*$BL$11)</f>
        <v>0</v>
      </c>
      <c r="BM398" s="123"/>
      <c r="BN398" s="123">
        <f>(BM398/12*2*$E398*$G398*$H398*$M398*$BN$11)+(BM398/12*10*$F398*$G398*$H398*$M398*$BN$11)</f>
        <v>0</v>
      </c>
      <c r="BO398" s="123"/>
      <c r="BP398" s="123">
        <f>(BO398/12*2*$E398*$G398*$H398*$M398*$BP$11)+(BO398/12*10*$F398*$G398*$H398*$M398*$BP$12)</f>
        <v>0</v>
      </c>
      <c r="BQ398" s="123"/>
      <c r="BR398" s="123">
        <f>(BQ398/12*2*$E398*$G398*$H398*$M398*$BR$11)+(BQ398/12*10*$F398*$G398*$H398*$M398*$BR$11)</f>
        <v>0</v>
      </c>
      <c r="BS398" s="123">
        <v>6</v>
      </c>
      <c r="BT398" s="123">
        <f>(BS398/12*2*$E398*$G398*$H398*$N398*$BT$11)+(BS398/12*10*$F398*$G398*$H398*$N398*$BT$11)</f>
        <v>147024.35999999999</v>
      </c>
      <c r="BU398" s="123"/>
      <c r="BV398" s="126">
        <f>(BU398/12*2*$E398*$G398*$H398*$M398*$BV$11)+(BU398/12*10*$F398*$G398*$H398*$M398*$BV$11)</f>
        <v>0</v>
      </c>
      <c r="BW398" s="123"/>
      <c r="BX398" s="123">
        <f>(BW398/12*2*$E398*$G398*$H398*$M398*$BX$11)+(BW398/12*10*$F398*$G398*$H398*$M398*$BX$11)</f>
        <v>0</v>
      </c>
      <c r="BY398" s="123"/>
      <c r="BZ398" s="123">
        <f>(BY398/12*2*$E398*$G398*$H398*$M398*$BZ$11)+(BY398/12*10*$F398*$G398*$H398*$M398*$BZ$11)</f>
        <v>0</v>
      </c>
      <c r="CA398" s="123"/>
      <c r="CB398" s="123">
        <f>(CA398/12*2*$E398*$G398*$H398*$M398*$CB$11)+(CA398/12*10*$F398*$G398*$H398*$M398*$CB$11)</f>
        <v>0</v>
      </c>
      <c r="CC398" s="123">
        <v>69</v>
      </c>
      <c r="CD398" s="123">
        <f>(CC398/12*2*$E398*$G398*$H398*$M398*$CD$11)+(CC398/12*10*$F398*$G398*$H398*$M398*$CD$11)</f>
        <v>1408983.45</v>
      </c>
      <c r="CE398" s="123"/>
      <c r="CF398" s="123">
        <f>(CE398/12*10*$F398*$G398*$H398*$N398*$CF$11)</f>
        <v>0</v>
      </c>
      <c r="CG398" s="132">
        <v>15</v>
      </c>
      <c r="CH398" s="123">
        <f>(CG398/12*2*$E398*$G398*$H398*$N398*$CH$11)+(CG398/12*10*$F398*$G398*$H398*$N398*$CH$11)</f>
        <v>330804.81</v>
      </c>
      <c r="CI398" s="123"/>
      <c r="CJ398" s="127"/>
      <c r="CK398" s="123"/>
      <c r="CL398" s="123">
        <f>(CK398/12*2*$E398*$G398*$H398*$N398*$CL$11)+(CK398/12*10*$F398*$G398*$H398*$N398*$CL$12)</f>
        <v>0</v>
      </c>
      <c r="CM398" s="130">
        <v>9</v>
      </c>
      <c r="CN398" s="123">
        <f>(CM398/12*2*$E398*$G398*$H398*$N398*$CN$11)+(CM398/12*10*$F398*$G398*$H398*$N398*$CN$11)</f>
        <v>220536.54</v>
      </c>
      <c r="CO398" s="123">
        <v>17</v>
      </c>
      <c r="CP398" s="123">
        <v>148201.20000000001</v>
      </c>
      <c r="CQ398" s="123"/>
      <c r="CR398" s="123">
        <f>(CQ398/12*2*$E398*$G398*$H398*$O398*$CR$11)+(CQ398/12*10*$F398*$G398*$H398*$O398*$CR$11)</f>
        <v>0</v>
      </c>
      <c r="CS398" s="123">
        <v>3</v>
      </c>
      <c r="CT398" s="133">
        <f>(CS398/12*2*$E398*$G398*$H398*$P398*$CT$11)+(CS398/12*10*$F398*$G398*$H398*$P398*$CT$11)</f>
        <v>112456.13250000001</v>
      </c>
      <c r="CU398" s="127"/>
      <c r="CV398" s="123">
        <f>(CU398*$E398*$G398*$H398*$M398*CV$11)/12*6+(CU398*$E398*$G398*$H398*1*CV$11)/12*6</f>
        <v>0</v>
      </c>
      <c r="CW398" s="126">
        <f t="shared" si="527"/>
        <v>383</v>
      </c>
      <c r="CX398" s="126">
        <f t="shared" si="527"/>
        <v>8885567.7079999987</v>
      </c>
    </row>
    <row r="399" spans="1:102" ht="30" customHeight="1" x14ac:dyDescent="0.25">
      <c r="A399" s="277" t="s">
        <v>163</v>
      </c>
      <c r="B399" s="116">
        <v>326</v>
      </c>
      <c r="C399" s="117" t="s">
        <v>916</v>
      </c>
      <c r="D399" s="161" t="s">
        <v>917</v>
      </c>
      <c r="E399" s="95">
        <v>28004</v>
      </c>
      <c r="F399" s="96">
        <v>29405</v>
      </c>
      <c r="G399" s="119">
        <v>0.37</v>
      </c>
      <c r="H399" s="107">
        <v>1</v>
      </c>
      <c r="I399" s="108"/>
      <c r="J399" s="108"/>
      <c r="K399" s="108"/>
      <c r="L399" s="63"/>
      <c r="M399" s="120">
        <v>1.4</v>
      </c>
      <c r="N399" s="120">
        <v>1.68</v>
      </c>
      <c r="O399" s="120">
        <v>2.23</v>
      </c>
      <c r="P399" s="121">
        <v>2.57</v>
      </c>
      <c r="Q399" s="204">
        <v>20</v>
      </c>
      <c r="R399" s="123">
        <f>(Q399/12*2*$E399*$G399*$H399*$M399)+(Q399/12*10*$F399*$G399*$H399*$M399)</f>
        <v>302216.74</v>
      </c>
      <c r="S399" s="124">
        <v>44</v>
      </c>
      <c r="T399" s="125">
        <f>(S399/12*2*$E399*$G399*$H399*$M399)+(S399/12*10*$F399*$G399*$H399*$M399)</f>
        <v>664876.82799999986</v>
      </c>
      <c r="U399" s="123">
        <v>6</v>
      </c>
      <c r="V399" s="123">
        <f>(U399/12*2*$E399*$G399*$H399*$M399)+(U399/12*10*$F399*$G399*$H399*$M399)</f>
        <v>90665.021999999997</v>
      </c>
      <c r="W399" s="123"/>
      <c r="X399" s="123">
        <f>(W399/12*2*$E399*$G399*$H399*$M399)+(W399/12*10*$F399*$G399*$H399*$M399)</f>
        <v>0</v>
      </c>
      <c r="Y399" s="123"/>
      <c r="Z399" s="123">
        <f>(Y399/12*2*$E399*$G399*$H399*$M399)+(Y399/12*10*$F399*$G399*$H399*$M399)</f>
        <v>0</v>
      </c>
      <c r="AA399" s="123"/>
      <c r="AB399" s="123">
        <f>(AA399/12*2*$E399*$G399*$H399*$M399)+(AA399/12*10*$F399*$G399*$H399*$M399)</f>
        <v>0</v>
      </c>
      <c r="AC399" s="123"/>
      <c r="AD399" s="123"/>
      <c r="AE399" s="123">
        <v>1</v>
      </c>
      <c r="AF399" s="127">
        <f>(AE399/12*2*$E399*$G399*$H399*$M399)+(AE399/12*10*$F399*$G399*$H399*$M399)</f>
        <v>15110.836999999998</v>
      </c>
      <c r="AG399" s="123">
        <v>20</v>
      </c>
      <c r="AH399" s="123">
        <f>(AG399/12*2*$E399*$G399*$H399*$M399)+(AG399/12*10*$F399*$G399*$H399*$M399)</f>
        <v>302216.74</v>
      </c>
      <c r="AI399" s="130">
        <v>7</v>
      </c>
      <c r="AJ399" s="123">
        <f>(AI399/12*2*$E399*$G399*$H399*$M399)+(AI399/12*10*$F399*$G399*$H399*$M399)</f>
        <v>105775.859</v>
      </c>
      <c r="AK399" s="123">
        <v>67</v>
      </c>
      <c r="AL399" s="126">
        <f>(AK399/12*2*$E399*$G399*$H399*$N399)+(AK399/12*10*$F399*$G399*$H399*$N399)</f>
        <v>1214911.2947999998</v>
      </c>
      <c r="AM399" s="129">
        <v>0</v>
      </c>
      <c r="AN399" s="123">
        <f>(AM399/12*2*$E399*$G399*$H399*$N399)+(AM399/12*10*$F399*$G399*$H399*$N399)</f>
        <v>0</v>
      </c>
      <c r="AO399" s="130">
        <v>2</v>
      </c>
      <c r="AP399" s="123">
        <f>(AO399/12*2*$E399*$G399*$H399*$N399)+(AO399/12*10*$F399*$G399*$H399*$N399)</f>
        <v>36266.008799999996</v>
      </c>
      <c r="AQ399" s="123">
        <v>1</v>
      </c>
      <c r="AR399" s="123">
        <v>18278.150000000001</v>
      </c>
      <c r="AS399" s="123"/>
      <c r="AT399" s="123"/>
      <c r="AU399" s="123"/>
      <c r="AV399" s="123"/>
      <c r="AW399" s="123"/>
      <c r="AX399" s="123">
        <f>(AW399/12*2*$E399*$G399*$H399*$M399)+(AW399/12*10*$F399*$G399*$H399*$M399)</f>
        <v>0</v>
      </c>
      <c r="AY399" s="123">
        <f>45+29</f>
        <v>74</v>
      </c>
      <c r="AZ399" s="123">
        <f>(AY399/12*2*$E399*$G399*$H399*$N399)+(AY399/12*10*$F399*$G399*$H399*$N399)</f>
        <v>1341842.3255999999</v>
      </c>
      <c r="BA399" s="123"/>
      <c r="BB399" s="123">
        <f>(BA399/12*2*$E399*$G399*$H399*$N399)+(BA399/12*10*$F399*$G399*$H399*$N399)</f>
        <v>0</v>
      </c>
      <c r="BC399" s="123"/>
      <c r="BD399" s="123">
        <f>(BC399/12*2*$E399*$G399*$H399*$N399)+(BC399/12*10*$F399*$G399*$H399*$N399)</f>
        <v>0</v>
      </c>
      <c r="BE399" s="123">
        <v>10</v>
      </c>
      <c r="BF399" s="123">
        <f>(BE399/12*10*$F399*$G399*$H399*$N399)</f>
        <v>152317.9</v>
      </c>
      <c r="BG399" s="123">
        <v>9</v>
      </c>
      <c r="BH399" s="123">
        <f>(BG399/12*2*$E399*$G399*$H399*$N399)+(BG399/12*10*$F399*$G399*$H399*$N399)</f>
        <v>163197.03959999999</v>
      </c>
      <c r="BI399" s="123">
        <v>10</v>
      </c>
      <c r="BJ399" s="123">
        <f>(BI399/12*2*$E399*$G399*$H399*$N399)+(BI399/12*10*$F399*$G399*$H399*$N399)</f>
        <v>181330.04399999999</v>
      </c>
      <c r="BK399" s="123">
        <v>16</v>
      </c>
      <c r="BL399" s="123">
        <f>(BK399/12*2*$E399*$G399*$H399*$N399)+(BK399/12*10*$F399*$G399*$H399*$N399)</f>
        <v>290128.07039999997</v>
      </c>
      <c r="BM399" s="123"/>
      <c r="BN399" s="123">
        <f>(BM399/12*2*$E399*$G399*$H399*$M399)+(BM399/12*10*$F399*$G399*$H399*$M399)</f>
        <v>0</v>
      </c>
      <c r="BO399" s="123"/>
      <c r="BP399" s="123">
        <f>(BO399/12*2*$E399*$G399*$H399*$M399)+(BO399/12*10*$F399*$G399*$H399*$M399)</f>
        <v>0</v>
      </c>
      <c r="BQ399" s="123"/>
      <c r="BR399" s="123">
        <f>(BQ399/12*2*$E399*$G399*$H399*$M399)+(BQ399/12*10*$F399*$G399*$H399*$M399)</f>
        <v>0</v>
      </c>
      <c r="BS399" s="123">
        <v>4</v>
      </c>
      <c r="BT399" s="123">
        <f>(BS399/12*2*$E399*$G399*$H399*$N399)+(BS399/12*10*$F399*$G399*$H399*$N399)</f>
        <v>72532.017599999992</v>
      </c>
      <c r="BU399" s="123"/>
      <c r="BV399" s="123">
        <f>(BU399/12*2*$E399*$G399*$H399*$M399)+(BU399/12*10*$F399*$G399*$H399*$M399)</f>
        <v>0</v>
      </c>
      <c r="BW399" s="123"/>
      <c r="BX399" s="123">
        <f>(BW399/12*2*$E399*$G399*$H399*$M399)+(BW399/12*10*$F399*$G399*$H399*$M399)</f>
        <v>0</v>
      </c>
      <c r="BY399" s="123"/>
      <c r="BZ399" s="123">
        <f>(BY399/12*2*$E399*$G399*$H399*$M399)+(BY399/12*10*$F399*$G399*$H399*$M399)</f>
        <v>0</v>
      </c>
      <c r="CA399" s="123">
        <v>10</v>
      </c>
      <c r="CB399" s="123">
        <f>(CA399/12*2*$E399*$G399*$H399*$M399)+(CA399/12*10*$F399*$G399*$H399*$M399)</f>
        <v>151108.37</v>
      </c>
      <c r="CC399" s="123">
        <v>21</v>
      </c>
      <c r="CD399" s="123">
        <f>(CC399/12*2*$E399*$G399*$H399*$M399)+(CC399/12*10*$F399*$G399*$H399*$M399)</f>
        <v>317327.57699999999</v>
      </c>
      <c r="CE399" s="123">
        <v>54</v>
      </c>
      <c r="CF399" s="123">
        <f>(CE399/12*10*$F399*$G399*$H399*$N399)</f>
        <v>822516.65999999992</v>
      </c>
      <c r="CG399" s="132"/>
      <c r="CH399" s="123">
        <f>(CG399/12*2*$E399*$G399*$H399*$N399)+(CG399/12*10*$F399*$G399*$H399*$N399)</f>
        <v>0</v>
      </c>
      <c r="CI399" s="123"/>
      <c r="CJ399" s="127">
        <f>(CI399*$E399*$G399*$H399*$N399)</f>
        <v>0</v>
      </c>
      <c r="CK399" s="123"/>
      <c r="CL399" s="123">
        <f>(CK399/12*2*$E399*$G399*$H399*$N399)+(CK399/12*10*$F399*$G399*$H399*$N399)</f>
        <v>0</v>
      </c>
      <c r="CM399" s="130">
        <v>25</v>
      </c>
      <c r="CN399" s="123">
        <f>(CM399/12*2*$E399*$G399*$H399*$N399)+(CM399/12*10*$F399*$G399*$H399*$N399)</f>
        <v>453325.11</v>
      </c>
      <c r="CO399" s="123">
        <v>26</v>
      </c>
      <c r="CP399" s="123">
        <v>26546.370000000003</v>
      </c>
      <c r="CQ399" s="123">
        <v>20</v>
      </c>
      <c r="CR399" s="123">
        <f>(CQ399/12*2*$E399*$G399*$H399*$O399)+(CQ399/12*10*$F399*$G399*$H399*$O399)</f>
        <v>481388.09300000005</v>
      </c>
      <c r="CS399" s="123">
        <v>8</v>
      </c>
      <c r="CT399" s="127">
        <f>(CS399/12*2*$E399*$G399*$H399*$P399)+(CS399/12*10*$F399*$G399*$H399*$P399)</f>
        <v>221913.43479999999</v>
      </c>
      <c r="CU399" s="127"/>
      <c r="CV399" s="127"/>
      <c r="CW399" s="126">
        <f>SUM(Q399,S399,U399,W399,Y399,AA399,AC399,AE399,AG399,AM399,BQ399,AI399,AU399,CC399,AW399,AY399,AK399,BC399,AO399,AQ399,BE399,CE399,BG399,BI399,BK399,BS399,BM399,BO399,BU399,BW399,BY399,CA399,CG399,BA399,AS399,CI399,CK399,CM399,CO399,CQ399,CS399,CU399)</f>
        <v>455</v>
      </c>
      <c r="CX399" s="126">
        <f>SUM(R399,T399,V399,X399,Z399,AB399,AD399,AF399,AH399,AN399,BR399,AJ399,AV399,CD399,AX399,AZ399,AL399,BD399,AP399,AR399,BF399,CF399,BH399,BJ399,BL399,BT399,BN399,BP399,BV399,BX399,BZ399,CB399,CH399,BB399,AT399,CJ399,CL399,CN399,CP399,CR399,CT399,CV399)</f>
        <v>7425790.4916000003</v>
      </c>
    </row>
    <row r="400" spans="1:102" ht="30" x14ac:dyDescent="0.25">
      <c r="A400" s="91"/>
      <c r="B400" s="116">
        <v>327</v>
      </c>
      <c r="C400" s="117" t="s">
        <v>918</v>
      </c>
      <c r="D400" s="161" t="s">
        <v>919</v>
      </c>
      <c r="E400" s="95">
        <v>28004</v>
      </c>
      <c r="F400" s="96">
        <v>29405</v>
      </c>
      <c r="G400" s="119">
        <v>1.19</v>
      </c>
      <c r="H400" s="107">
        <v>1</v>
      </c>
      <c r="I400" s="108"/>
      <c r="J400" s="108"/>
      <c r="K400" s="108"/>
      <c r="L400" s="63"/>
      <c r="M400" s="120">
        <v>1.4</v>
      </c>
      <c r="N400" s="120">
        <v>1.68</v>
      </c>
      <c r="O400" s="120">
        <v>2.23</v>
      </c>
      <c r="P400" s="121">
        <v>2.57</v>
      </c>
      <c r="Q400" s="122">
        <v>1</v>
      </c>
      <c r="R400" s="123">
        <f>(Q400/12*2*$E400*$G400*$H400*$M400*$R$11)+(Q400/12*10*$F400*$G400*$H400*$M400*$R$11)</f>
        <v>53459.690899999994</v>
      </c>
      <c r="S400" s="124">
        <v>2</v>
      </c>
      <c r="T400" s="125">
        <f>(S400/12*2*$E400*$G400*$H400*$M400*$R$11)+(S400/12*10*$F400*$G400*$H400*$M400*$R$11)</f>
        <v>106919.38179999999</v>
      </c>
      <c r="U400" s="123">
        <v>10</v>
      </c>
      <c r="V400" s="123">
        <f>(U400/12*2*$E400*$G400*$H400*$M400*$V$11)+(U400/12*10*$F400*$G400*$H400*$M400*$V$12)</f>
        <v>651819.30683333334</v>
      </c>
      <c r="W400" s="123"/>
      <c r="X400" s="126">
        <f>(W400/12*2*$E400*$G400*$H400*$M400*$X$11)+(W400/12*10*$F400*$G400*$H400*$M400*$X$12)</f>
        <v>0</v>
      </c>
      <c r="Y400" s="123">
        <v>60</v>
      </c>
      <c r="Z400" s="123">
        <f>(Y400/12*2*$E400*$G400*$H400*$M400*$Z$11)+(Y400/12*10*$F400*$G400*$H400*$M400*$Z$12)</f>
        <v>3910915.841</v>
      </c>
      <c r="AA400" s="123"/>
      <c r="AB400" s="123">
        <f>(AA400/12*2*$E400*$G400*$H400*$M400*$AB$11)+(AA400/12*10*$F400*$G400*$H400*$M400*$AB$11)</f>
        <v>0</v>
      </c>
      <c r="AC400" s="123"/>
      <c r="AD400" s="123"/>
      <c r="AE400" s="123">
        <v>3</v>
      </c>
      <c r="AF400" s="127">
        <f>(AE400/12*2*$E400*$G400*$H400*$M400*$AF$11)+(AE400/12*10*$F400*$G400*$H400*$M400*$AF$11)</f>
        <v>160379.07270000002</v>
      </c>
      <c r="AG400" s="123">
        <v>5</v>
      </c>
      <c r="AH400" s="126">
        <f>(AG400/12*2*$E400*$G400*$H400*$M400*$AH$11)+(AG400/12*10*$F400*$G400*$H400*$M400*$AH$11)</f>
        <v>267298.45450000005</v>
      </c>
      <c r="AI400" s="130">
        <v>24</v>
      </c>
      <c r="AJ400" s="123">
        <f>(AI400/12*2*$E400*$G400*$H400*$M400*$AJ$11)+(AI400/12*5*$F400*$G400*$H400*$M400*$AJ$12)+(AI400/12*5*$F400*$G400*$H400*$M400*$AJ$13)</f>
        <v>1506513.4868000001</v>
      </c>
      <c r="AK400" s="123"/>
      <c r="AL400" s="123">
        <f>(AK400/12*2*$E400*$G400*$H400*$N400*$AL$11)+(AK400/12*5*$F400*$G400*$H400*$N400*$AL$12)++(AK400/12*5*$F400*$G400*$H400*$N400*$AL$13)</f>
        <v>0</v>
      </c>
      <c r="AM400" s="132">
        <v>131</v>
      </c>
      <c r="AN400" s="123">
        <f>(AM400/12*2*$E400*$G400*$H400*$N400*$AN$11)+(AM400/12*10*$F400*$G400*$H400*$N400*$AN$12)</f>
        <v>10246599.503419999</v>
      </c>
      <c r="AO400" s="130">
        <v>0</v>
      </c>
      <c r="AP400" s="127">
        <f>(AO400/12*2*$E400*$G400*$H400*$N400*$AP$11)+(AO400/12*10*$F400*$G400*$H400*$N400*$AP$11)</f>
        <v>0</v>
      </c>
      <c r="AQ400" s="127">
        <v>0</v>
      </c>
      <c r="AR400" s="127">
        <v>0</v>
      </c>
      <c r="AS400" s="123"/>
      <c r="AT400" s="123">
        <f>(AS400/12*2*$E400*$G400*$H400*$M400*$AT$11)+(AS400/12*10*$F400*$G400*$H400*$M400*$AT$11)</f>
        <v>0</v>
      </c>
      <c r="AU400" s="123"/>
      <c r="AV400" s="126">
        <f>(AU400/12*2*$E400*$G400*$H400*$M400*$AV$11)+(AU400/12*10*$F400*$G400*$H400*$M400*$AV$12)</f>
        <v>0</v>
      </c>
      <c r="AW400" s="123"/>
      <c r="AX400" s="123">
        <f>(AW400/12*2*$E400*$G400*$H400*$M400*$AX$11)+(AW400/12*10*$F400*$G400*$H400*$M400*$AX$12)</f>
        <v>0</v>
      </c>
      <c r="AY400" s="131">
        <v>2</v>
      </c>
      <c r="AZ400" s="123">
        <f>(AY400/12*2*$E400*$G400*$H400*$N400*$AZ$11)+(AY400/12*10*$F400*$G400*$H400*$N400*$AZ$11)</f>
        <v>128303.25815999997</v>
      </c>
      <c r="BA400" s="123"/>
      <c r="BB400" s="123">
        <f>(BA400/12*2*$E400*$G400*$H400*$N400*$BB$11)+(BA400/12*10*$F400*$G400*$H400*$N400*$BB$12)</f>
        <v>0</v>
      </c>
      <c r="BC400" s="123"/>
      <c r="BD400" s="126">
        <f>(BC400/12*2*$E400*$G400*$H400*$N400*$BD$11)+(BC400/12*10*$F400*$G400*$H400*$N400*$BD$12)</f>
        <v>0</v>
      </c>
      <c r="BE400" s="123"/>
      <c r="BF400" s="123">
        <f>(BE400/12*10*$F400*$G400*$H400*$N400*$BF$12)</f>
        <v>0</v>
      </c>
      <c r="BG400" s="123"/>
      <c r="BH400" s="123">
        <f>(BG400/12*2*$E400*$G400*$H400*$N400*$BH$11)+(BG400/12*10*$F400*$G400*$H400*$N400*$BH$11)</f>
        <v>0</v>
      </c>
      <c r="BI400" s="123"/>
      <c r="BJ400" s="126">
        <f>(BI400/12*2*$E400*$G400*$H400*$N400*$BJ$11)+(BI400/12*10*$F400*$G400*$H400*$N400*$BJ$11)</f>
        <v>0</v>
      </c>
      <c r="BK400" s="123">
        <v>7</v>
      </c>
      <c r="BL400" s="127">
        <f>(BK400/12*2*$E400*$G400*$H400*$N400*$BL$11)+(BK400/12*10*$F400*$G400*$H400*$N400*$BL$11)</f>
        <v>489885.16752000002</v>
      </c>
      <c r="BM400" s="123"/>
      <c r="BN400" s="123">
        <f>(BM400/12*2*$E400*$G400*$H400*$M400*$BN$11)+(BM400/12*10*$F400*$G400*$H400*$M400*$BN$11)</f>
        <v>0</v>
      </c>
      <c r="BO400" s="123"/>
      <c r="BP400" s="123">
        <f>(BO400/12*2*$E400*$G400*$H400*$M400*$BP$11)+(BO400/12*10*$F400*$G400*$H400*$M400*$BP$12)</f>
        <v>0</v>
      </c>
      <c r="BQ400" s="123">
        <v>16</v>
      </c>
      <c r="BR400" s="123">
        <f>(BQ400/12*2*$E400*$G400*$H400*$M400*$BR$11)+(BQ400/12*10*$F400*$G400*$H400*$M400*$BR$11)</f>
        <v>777595.50399999984</v>
      </c>
      <c r="BS400" s="123"/>
      <c r="BT400" s="123">
        <f>(BS400/12*2*$E400*$G400*$H400*$N400*$BT$11)+(BS400/12*10*$F400*$G400*$H400*$N400*$BT$11)</f>
        <v>0</v>
      </c>
      <c r="BU400" s="123"/>
      <c r="BV400" s="126">
        <f>(BU400/12*2*$E400*$G400*$H400*$M400*$BV$11)+(BU400/12*10*$F400*$G400*$H400*$M400*$BV$11)</f>
        <v>0</v>
      </c>
      <c r="BW400" s="123"/>
      <c r="BX400" s="123">
        <f>(BW400/12*2*$E400*$G400*$H400*$M400*$BX$11)+(BW400/12*10*$F400*$G400*$H400*$M400*$BX$11)</f>
        <v>0</v>
      </c>
      <c r="BY400" s="123"/>
      <c r="BZ400" s="123">
        <f>(BY400/12*2*$E400*$G400*$H400*$M400*$BZ$11)+(BY400/12*10*$F400*$G400*$H400*$M400*$BZ$11)</f>
        <v>0</v>
      </c>
      <c r="CA400" s="123">
        <v>1</v>
      </c>
      <c r="CB400" s="123">
        <f>(CA400/12*2*$E400*$G400*$H400*$M400*$CB$11)+(CA400/12*10*$F400*$G400*$H400*$M400*$CB$11)</f>
        <v>58319.662799999984</v>
      </c>
      <c r="CC400" s="123"/>
      <c r="CD400" s="123">
        <f>(CC400/12*2*$E400*$G400*$H400*$M400*$CD$11)+(CC400/12*10*$F400*$G400*$H400*$M400*$CD$11)</f>
        <v>0</v>
      </c>
      <c r="CE400" s="123"/>
      <c r="CF400" s="123">
        <f>(CE400/12*10*$F400*$G400*$H400*$N400*$CF$11)</f>
        <v>0</v>
      </c>
      <c r="CG400" s="132"/>
      <c r="CH400" s="123">
        <f>(CG400/12*2*$E400*$G400*$H400*$N400*$CH$11)+(CG400/12*10*$F400*$G400*$H400*$N400*$CH$11)</f>
        <v>0</v>
      </c>
      <c r="CI400" s="123"/>
      <c r="CJ400" s="127"/>
      <c r="CK400" s="123"/>
      <c r="CL400" s="123">
        <f>(CK400/12*2*$E400*$G400*$H400*$N400*$CL$11)+(CK400/12*10*$F400*$G400*$H400*$N400*$CL$12)</f>
        <v>0</v>
      </c>
      <c r="CM400" s="130"/>
      <c r="CN400" s="123">
        <f>(CM400/12*2*$E400*$G400*$H400*$N400*$CN$11)+(CM400/12*10*$F400*$G400*$H400*$N400*$CN$11)</f>
        <v>0</v>
      </c>
      <c r="CO400" s="123"/>
      <c r="CP400" s="123">
        <f>(CO400/12*2*$E400*$G400*$H400*$N400*$CP$11)+(CO400/12*10*$F400*$G400*$H400*$N400*$CP$11)</f>
        <v>0</v>
      </c>
      <c r="CQ400" s="123"/>
      <c r="CR400" s="123">
        <f>(CQ400/12*2*$E400*$G400*$H400*$O400*$CR$11)+(CQ400/12*10*$F400*$G400*$H400*$O400*$CR$11)</f>
        <v>0</v>
      </c>
      <c r="CS400" s="123">
        <v>1</v>
      </c>
      <c r="CT400" s="133">
        <f>(CS400/12*2*$E400*$G400*$H400*$P400*$CT$11)+(CS400/12*10*$F400*$G400*$H400*$P400*$CT$11)</f>
        <v>89215.198449999982</v>
      </c>
      <c r="CU400" s="127"/>
      <c r="CV400" s="123">
        <f>(CU400*$E400*$G400*$H400*$M400*CV$11)/12*6+(CU400*$E400*$G400*$H400*1*CV$11)/12*6</f>
        <v>0</v>
      </c>
      <c r="CW400" s="126">
        <f>SUM(Q400,S400,U400,W400,Y400,AA400,AC400,AE400,AG400,AM400,BQ400,AI400,AU400,CC400,AW400,AY400,AK400,BC400,AO400,AQ400,BE400,CE400,BG400,BI400,BK400,BS400,BM400,BO400,BU400,BW400,BY400,CA400,CG400,BA400,AS400,CI400,CK400,CM400,CO400,CQ400,CS400,CU400)</f>
        <v>263</v>
      </c>
      <c r="CX400" s="126">
        <f>SUM(R400,T400,V400,X400,Z400,AB400,AD400,AF400,AH400,AN400,BR400,AJ400,AV400,CD400,AX400,AZ400,AL400,BD400,AP400,AR400,BF400,CF400,BH400,BJ400,BL400,BT400,BN400,BP400,BV400,BX400,BZ400,CB400,CH400,BB400,AT400,CJ400,CL400,CN400,CP400,CR400,CT400,CV400)</f>
        <v>18447223.528883334</v>
      </c>
    </row>
    <row r="401" spans="1:102" ht="15.75" customHeight="1" x14ac:dyDescent="0.25">
      <c r="A401" s="109">
        <v>32</v>
      </c>
      <c r="B401" s="150"/>
      <c r="C401" s="93" t="s">
        <v>920</v>
      </c>
      <c r="D401" s="164" t="s">
        <v>921</v>
      </c>
      <c r="E401" s="95">
        <v>28004</v>
      </c>
      <c r="F401" s="96">
        <v>29405</v>
      </c>
      <c r="G401" s="151">
        <v>1.2</v>
      </c>
      <c r="H401" s="166"/>
      <c r="I401" s="108"/>
      <c r="J401" s="108"/>
      <c r="K401" s="108"/>
      <c r="L401" s="111"/>
      <c r="M401" s="112">
        <v>1.4</v>
      </c>
      <c r="N401" s="112">
        <v>1.68</v>
      </c>
      <c r="O401" s="112">
        <v>2.23</v>
      </c>
      <c r="P401" s="113">
        <v>2.57</v>
      </c>
      <c r="Q401" s="103">
        <f>SUM(Q402:Q421)</f>
        <v>978</v>
      </c>
      <c r="R401" s="104">
        <f>SUM(R402:R421)</f>
        <v>91246696.090541929</v>
      </c>
      <c r="S401" s="114">
        <f t="shared" ref="S401:CD401" si="528">SUM(S402:S421)</f>
        <v>391</v>
      </c>
      <c r="T401" s="115">
        <f t="shared" si="528"/>
        <v>26069356.133486625</v>
      </c>
      <c r="U401" s="104">
        <f t="shared" si="528"/>
        <v>350</v>
      </c>
      <c r="V401" s="104">
        <f t="shared" si="528"/>
        <v>26975810.641219996</v>
      </c>
      <c r="W401" s="104">
        <f t="shared" si="528"/>
        <v>45</v>
      </c>
      <c r="X401" s="104">
        <f t="shared" si="528"/>
        <v>2886080.6115166661</v>
      </c>
      <c r="Y401" s="104">
        <f t="shared" si="528"/>
        <v>188</v>
      </c>
      <c r="Z401" s="104">
        <f t="shared" si="528"/>
        <v>13762881.093037184</v>
      </c>
      <c r="AA401" s="104">
        <f t="shared" si="528"/>
        <v>0</v>
      </c>
      <c r="AB401" s="104">
        <f t="shared" si="528"/>
        <v>0</v>
      </c>
      <c r="AC401" s="104">
        <f t="shared" si="528"/>
        <v>0</v>
      </c>
      <c r="AD401" s="104">
        <f t="shared" si="528"/>
        <v>0</v>
      </c>
      <c r="AE401" s="104">
        <f t="shared" si="528"/>
        <v>405</v>
      </c>
      <c r="AF401" s="105">
        <f t="shared" si="528"/>
        <v>21837936.108777042</v>
      </c>
      <c r="AG401" s="104">
        <f t="shared" si="528"/>
        <v>1094</v>
      </c>
      <c r="AH401" s="104">
        <f t="shared" si="528"/>
        <v>61480121.104441665</v>
      </c>
      <c r="AI401" s="106">
        <f t="shared" si="528"/>
        <v>972</v>
      </c>
      <c r="AJ401" s="104">
        <f t="shared" si="528"/>
        <v>83636534.961323902</v>
      </c>
      <c r="AK401" s="104">
        <f t="shared" si="528"/>
        <v>564</v>
      </c>
      <c r="AL401" s="104">
        <f t="shared" si="528"/>
        <v>37114914.241958007</v>
      </c>
      <c r="AM401" s="104">
        <f t="shared" si="528"/>
        <v>66</v>
      </c>
      <c r="AN401" s="104">
        <f t="shared" si="528"/>
        <v>6165967.5236628037</v>
      </c>
      <c r="AO401" s="106">
        <f t="shared" si="528"/>
        <v>19</v>
      </c>
      <c r="AP401" s="104">
        <f t="shared" si="528"/>
        <v>1010577.439256</v>
      </c>
      <c r="AQ401" s="104">
        <v>35</v>
      </c>
      <c r="AR401" s="104">
        <v>2518246.96</v>
      </c>
      <c r="AS401" s="104">
        <f t="shared" si="528"/>
        <v>0</v>
      </c>
      <c r="AT401" s="104">
        <f t="shared" si="528"/>
        <v>0</v>
      </c>
      <c r="AU401" s="104">
        <f t="shared" si="528"/>
        <v>0</v>
      </c>
      <c r="AV401" s="104">
        <f t="shared" si="528"/>
        <v>0</v>
      </c>
      <c r="AW401" s="104">
        <f t="shared" si="528"/>
        <v>98</v>
      </c>
      <c r="AX401" s="104">
        <f t="shared" si="528"/>
        <v>4634196.2366349995</v>
      </c>
      <c r="AY401" s="104">
        <f t="shared" si="528"/>
        <v>344</v>
      </c>
      <c r="AZ401" s="104">
        <f t="shared" si="528"/>
        <v>21608278.378848005</v>
      </c>
      <c r="BA401" s="104">
        <f t="shared" si="528"/>
        <v>0</v>
      </c>
      <c r="BB401" s="104">
        <f t="shared" si="528"/>
        <v>0</v>
      </c>
      <c r="BC401" s="104">
        <f t="shared" si="528"/>
        <v>0</v>
      </c>
      <c r="BD401" s="104">
        <f t="shared" si="528"/>
        <v>0</v>
      </c>
      <c r="BE401" s="104">
        <f t="shared" si="528"/>
        <v>72</v>
      </c>
      <c r="BF401" s="104">
        <f t="shared" si="528"/>
        <v>3357642.2704999996</v>
      </c>
      <c r="BG401" s="104">
        <f t="shared" si="528"/>
        <v>0</v>
      </c>
      <c r="BH401" s="104">
        <f t="shared" si="528"/>
        <v>0</v>
      </c>
      <c r="BI401" s="104">
        <f t="shared" si="528"/>
        <v>74</v>
      </c>
      <c r="BJ401" s="104">
        <f t="shared" si="528"/>
        <v>4495768.8440000005</v>
      </c>
      <c r="BK401" s="104">
        <f t="shared" si="528"/>
        <v>190</v>
      </c>
      <c r="BL401" s="104">
        <f t="shared" si="528"/>
        <v>11213481.894608</v>
      </c>
      <c r="BM401" s="104">
        <f t="shared" si="528"/>
        <v>0</v>
      </c>
      <c r="BN401" s="104">
        <f t="shared" si="528"/>
        <v>0</v>
      </c>
      <c r="BO401" s="104">
        <f t="shared" si="528"/>
        <v>0</v>
      </c>
      <c r="BP401" s="104">
        <f t="shared" si="528"/>
        <v>0</v>
      </c>
      <c r="BQ401" s="104">
        <f t="shared" si="528"/>
        <v>113</v>
      </c>
      <c r="BR401" s="104">
        <f t="shared" si="528"/>
        <v>7697672.6583000002</v>
      </c>
      <c r="BS401" s="104">
        <f t="shared" si="528"/>
        <v>42</v>
      </c>
      <c r="BT401" s="104">
        <f t="shared" si="528"/>
        <v>2439268.0828600004</v>
      </c>
      <c r="BU401" s="104">
        <f t="shared" si="528"/>
        <v>0</v>
      </c>
      <c r="BV401" s="104">
        <f t="shared" si="528"/>
        <v>0</v>
      </c>
      <c r="BW401" s="104">
        <f t="shared" si="528"/>
        <v>0</v>
      </c>
      <c r="BX401" s="104">
        <f t="shared" si="528"/>
        <v>0</v>
      </c>
      <c r="BY401" s="104">
        <f t="shared" si="528"/>
        <v>56</v>
      </c>
      <c r="BZ401" s="104">
        <f t="shared" si="528"/>
        <v>1578564.9997833332</v>
      </c>
      <c r="CA401" s="104">
        <f>SUM(CA402:CA421)</f>
        <v>272</v>
      </c>
      <c r="CB401" s="104">
        <f t="shared" si="528"/>
        <v>14149958.090916669</v>
      </c>
      <c r="CC401" s="104">
        <f t="shared" si="528"/>
        <v>41</v>
      </c>
      <c r="CD401" s="104">
        <f t="shared" si="528"/>
        <v>1499867.97065</v>
      </c>
      <c r="CE401" s="104">
        <f t="shared" ref="CE401:CX401" si="529">SUM(CE402:CE421)</f>
        <v>155</v>
      </c>
      <c r="CF401" s="104">
        <f t="shared" si="529"/>
        <v>5828403.2764999988</v>
      </c>
      <c r="CG401" s="104">
        <f t="shared" si="529"/>
        <v>0</v>
      </c>
      <c r="CH401" s="104">
        <f t="shared" si="529"/>
        <v>0</v>
      </c>
      <c r="CI401" s="104">
        <f t="shared" si="529"/>
        <v>0</v>
      </c>
      <c r="CJ401" s="104">
        <f t="shared" si="529"/>
        <v>0</v>
      </c>
      <c r="CK401" s="104">
        <f t="shared" si="529"/>
        <v>2</v>
      </c>
      <c r="CL401" s="104">
        <f t="shared" si="529"/>
        <v>83803.596141999995</v>
      </c>
      <c r="CM401" s="104">
        <f t="shared" si="529"/>
        <v>1</v>
      </c>
      <c r="CN401" s="104">
        <f t="shared" si="529"/>
        <v>34391.922879999998</v>
      </c>
      <c r="CO401" s="104">
        <f t="shared" si="529"/>
        <v>0</v>
      </c>
      <c r="CP401" s="104">
        <f t="shared" si="529"/>
        <v>0</v>
      </c>
      <c r="CQ401" s="104">
        <f t="shared" si="529"/>
        <v>0</v>
      </c>
      <c r="CR401" s="104">
        <f t="shared" si="529"/>
        <v>0</v>
      </c>
      <c r="CS401" s="104">
        <f t="shared" si="529"/>
        <v>5</v>
      </c>
      <c r="CT401" s="104">
        <f t="shared" si="529"/>
        <v>496879.09818499989</v>
      </c>
      <c r="CU401" s="104">
        <f t="shared" si="529"/>
        <v>0</v>
      </c>
      <c r="CV401" s="104">
        <f t="shared" si="529"/>
        <v>0</v>
      </c>
      <c r="CW401" s="104">
        <f t="shared" si="529"/>
        <v>6572</v>
      </c>
      <c r="CX401" s="104">
        <f t="shared" si="529"/>
        <v>453823300.23002982</v>
      </c>
    </row>
    <row r="402" spans="1:102" ht="30" customHeight="1" x14ac:dyDescent="0.25">
      <c r="A402" s="91"/>
      <c r="B402" s="116">
        <v>328</v>
      </c>
      <c r="C402" s="117" t="s">
        <v>922</v>
      </c>
      <c r="D402" s="161" t="s">
        <v>923</v>
      </c>
      <c r="E402" s="95">
        <v>28004</v>
      </c>
      <c r="F402" s="96">
        <v>29405</v>
      </c>
      <c r="G402" s="119">
        <v>1.1499999999999999</v>
      </c>
      <c r="H402" s="110">
        <v>0.8</v>
      </c>
      <c r="I402" s="108"/>
      <c r="J402" s="108"/>
      <c r="K402" s="108"/>
      <c r="L402" s="63"/>
      <c r="M402" s="120">
        <v>1.4</v>
      </c>
      <c r="N402" s="120">
        <v>1.68</v>
      </c>
      <c r="O402" s="120">
        <v>2.23</v>
      </c>
      <c r="P402" s="121">
        <v>2.57</v>
      </c>
      <c r="Q402" s="204">
        <v>23</v>
      </c>
      <c r="R402" s="123">
        <f>(Q402/12*2*$E402*$G402*$H402*$M402*$R$11)+(Q402/12*10*$F402*$G402*$H402*$M402*$R$11)</f>
        <v>950594.16760000004</v>
      </c>
      <c r="S402" s="124">
        <v>29</v>
      </c>
      <c r="T402" s="125">
        <f>(S402/12*2*$E402*$G402*$H402*$M402*$R$11)+(S402/12*10*$F402*$G402*$H402*$M402*$R$11)</f>
        <v>1198575.2547999998</v>
      </c>
      <c r="U402" s="123">
        <v>3</v>
      </c>
      <c r="V402" s="123">
        <f>(U402/12*2*$E402*$G402*$H402*$M402*$V$11)+(U402/12*10*$F402*$G402*$H402*$M402*$V$12)</f>
        <v>151178.25939999998</v>
      </c>
      <c r="W402" s="123"/>
      <c r="X402" s="126">
        <f>(W402/12*2*$E402*$G402*$H402*$M402*$X$11)+(W402/12*10*$F402*$G402*$H402*$M402*$X$12)</f>
        <v>0</v>
      </c>
      <c r="Y402" s="123"/>
      <c r="Z402" s="123">
        <f>(Y402/12*2*$E402*$G402*$H402*$M402*$Z$11)+(Y402/12*10*$F402*$G402*$H402*$M402*$Z$12)</f>
        <v>0</v>
      </c>
      <c r="AA402" s="123"/>
      <c r="AB402" s="123">
        <f>(AA402/12*2*$E402*$G402*$H402*$M402*$AB$11)+(AA402/12*10*$F402*$G402*$H402*$M402*$AB$11)</f>
        <v>0</v>
      </c>
      <c r="AC402" s="123"/>
      <c r="AD402" s="123"/>
      <c r="AE402" s="123">
        <v>5</v>
      </c>
      <c r="AF402" s="127">
        <f>(AE402/12*2*$E402*$G402*$H402*$M402*$AF$11)+(AE402/12*10*$F402*$G402*$H402*$M402*$AF$11)</f>
        <v>206650.90600000002</v>
      </c>
      <c r="AG402" s="123">
        <f>76+2</f>
        <v>78</v>
      </c>
      <c r="AH402" s="126">
        <f>(AG402/12*2*$E402*$G402*$H402*$M402*$AH$11)+(AG402/12*10*$F402*$G402*$H402*$M402*$AH$11)</f>
        <v>3223754.1335999998</v>
      </c>
      <c r="AI402" s="130">
        <v>85</v>
      </c>
      <c r="AJ402" s="123">
        <f>(AI402/12*2*$E402*$G402*$H402*$M402*$AJ$11)+(AI402/12*5*$F402*$G402*$H402*$M402*$AJ$12)+(AI402/12*5*$F402*$G402*$H402*$M402*$AJ$13)</f>
        <v>4124977.404333333</v>
      </c>
      <c r="AK402" s="123">
        <f>70-30</f>
        <v>40</v>
      </c>
      <c r="AL402" s="123">
        <f>(AK402/12*2*$E402*$G402*$H402*$N402*$AL$11)+(AK402/12*5*$F402*$G402*$H402*$N402*$AL$12)++(AK402/12*5*$F402*$G402*$H402*$N402*$AL$13)</f>
        <v>2329399.0048000002</v>
      </c>
      <c r="AM402" s="129"/>
      <c r="AN402" s="123">
        <f>(AM402/12*2*$E402*$G402*$H402*$N402*$AN$11)+(AM402/12*10*$F402*$G402*$H402*$N402*$AN$12)</f>
        <v>0</v>
      </c>
      <c r="AO402" s="130">
        <v>2</v>
      </c>
      <c r="AP402" s="127">
        <f>(AO402/12*2*$E402*$G402*$H402*$N402*$AP$11)+(AO402/12*10*$F402*$G402*$H402*$N402*$AP$11)</f>
        <v>99192.434879999986</v>
      </c>
      <c r="AQ402" s="127">
        <v>0</v>
      </c>
      <c r="AR402" s="127">
        <v>0</v>
      </c>
      <c r="AS402" s="123"/>
      <c r="AT402" s="123">
        <f>(AS402/12*2*$E402*$G402*$H402*$M402*$AT$11)+(AS402/12*10*$F402*$G402*$H402*$M402*$AT$11)</f>
        <v>0</v>
      </c>
      <c r="AU402" s="123"/>
      <c r="AV402" s="126">
        <f>(AU402/12*2*$E402*$G402*$H402*$M402*$AV$11)+(AU402/12*10*$F402*$G402*$H402*$M402*$AV$12)</f>
        <v>0</v>
      </c>
      <c r="AW402" s="123">
        <v>12</v>
      </c>
      <c r="AX402" s="123">
        <f>(AW402/12*2*$E402*$G402*$H402*$M402*$AX$11)+(AW402/12*10*$F402*$G402*$H402*$M402*$AX$12)</f>
        <v>518325.46079999988</v>
      </c>
      <c r="AY402" s="123">
        <v>20</v>
      </c>
      <c r="AZ402" s="123">
        <f>(AY402/12*2*$E402*$G402*$H402*$N402*$AZ$11)+(AY402/12*10*$F402*$G402*$H402*$N402*$AZ$11)</f>
        <v>991924.34880000004</v>
      </c>
      <c r="BA402" s="123"/>
      <c r="BB402" s="123">
        <f>(BA402/12*2*$E402*$G402*$H402*$N402*$BB$11)+(BA402/12*10*$F402*$G402*$H402*$N402*$BB$12)</f>
        <v>0</v>
      </c>
      <c r="BC402" s="123"/>
      <c r="BD402" s="126">
        <f>(BC402/12*2*$E402*$G402*$H402*$N402*$BD$11)+(BC402/12*10*$F402*$G402*$H402*$N402*$BD$12)</f>
        <v>0</v>
      </c>
      <c r="BE402" s="123">
        <v>10</v>
      </c>
      <c r="BF402" s="123">
        <f>(BE402/12*10*$F402*$G402*$H402*$N402*$BF$12)</f>
        <v>378736.4</v>
      </c>
      <c r="BG402" s="123"/>
      <c r="BH402" s="123">
        <f>(BG402/12*2*$E402*$G402*$H402*$N402*$BH$11)+(BG402/12*10*$F402*$G402*$H402*$N402*$BH$11)</f>
        <v>0</v>
      </c>
      <c r="BI402" s="123">
        <v>15</v>
      </c>
      <c r="BJ402" s="126">
        <f>(BI402/12*2*$E402*$G402*$H402*$N402*$BJ$11)+(BI402/12*10*$F402*$G402*$H402*$N402*$BJ$11)</f>
        <v>811574.46719999984</v>
      </c>
      <c r="BK402" s="123">
        <v>31</v>
      </c>
      <c r="BL402" s="127">
        <f>(BK402/12*2*$E402*$G402*$H402*$N402*$BL$11)+(BK402/12*10*$F402*$G402*$H402*$N402*$BL$11)</f>
        <v>1677253.8988800002</v>
      </c>
      <c r="BM402" s="123"/>
      <c r="BN402" s="123">
        <f>(BM402/12*2*$E402*$G402*$H402*$M402*$BN$11)+(BM402/12*10*$F402*$G402*$H402*$M402*$BN$11)</f>
        <v>0</v>
      </c>
      <c r="BO402" s="123"/>
      <c r="BP402" s="123">
        <f>(BO402/12*2*$E402*$G402*$H402*$M402*$BP$11)+(BO402/12*10*$F402*$G402*$H402*$M402*$BP$12)</f>
        <v>0</v>
      </c>
      <c r="BQ402" s="123"/>
      <c r="BR402" s="123">
        <f>(BQ402/12*2*$E402*$G402*$H402*$M402*$BR$11)+(BQ402/12*10*$F402*$G402*$H402*$M402*$BR$11)</f>
        <v>0</v>
      </c>
      <c r="BS402" s="123">
        <v>2</v>
      </c>
      <c r="BT402" s="123">
        <f>(BS402/12*2*$E402*$G402*$H402*$N402*$BT$11)+(BS402/12*10*$F402*$G402*$H402*$N402*$BT$11)</f>
        <v>90174.940799999982</v>
      </c>
      <c r="BU402" s="123"/>
      <c r="BV402" s="126">
        <f>(BU402/12*2*$E402*$G402*$H402*$M402*$BV$11)+(BU402/12*10*$F402*$G402*$H402*$M402*$BV$11)</f>
        <v>0</v>
      </c>
      <c r="BW402" s="123"/>
      <c r="BX402" s="123">
        <f>(BW402/12*2*$E402*$G402*$H402*$M402*$BX$11)+(BW402/12*10*$F402*$G402*$H402*$M402*$BX$11)</f>
        <v>0</v>
      </c>
      <c r="BY402" s="123">
        <v>5</v>
      </c>
      <c r="BZ402" s="123">
        <f>(BY402/12*2*$E402*$G402*$H402*$M402*$BZ$11)+(BY402/12*10*$F402*$G402*$H402*$M402*$BZ$11)</f>
        <v>187864.46000000002</v>
      </c>
      <c r="CA402" s="123">
        <v>1</v>
      </c>
      <c r="CB402" s="123">
        <f>(CA402/12*2*$E402*$G402*$H402*$M402*$CB$11)+(CA402/12*10*$F402*$G402*$H402*$M402*$CB$11)</f>
        <v>45087.470399999984</v>
      </c>
      <c r="CC402" s="123">
        <v>8</v>
      </c>
      <c r="CD402" s="123">
        <f>(CC402/12*2*$E402*$G402*$H402*$M402*$CD$11)+(CC402/12*10*$F402*$G402*$H402*$M402*$CD$11)</f>
        <v>300583.13599999994</v>
      </c>
      <c r="CE402" s="123">
        <v>17</v>
      </c>
      <c r="CF402" s="123">
        <f>(CE402/12*10*$F402*$G402*$H402*$N402*$CF$11)</f>
        <v>643851.88</v>
      </c>
      <c r="CG402" s="132"/>
      <c r="CH402" s="123">
        <f>(CG402/12*2*$E402*$G402*$H402*$N402*$CH$11)+(CG402/12*10*$F402*$G402*$H402*$N402*$CH$11)</f>
        <v>0</v>
      </c>
      <c r="CI402" s="123"/>
      <c r="CJ402" s="127"/>
      <c r="CK402" s="123"/>
      <c r="CL402" s="123">
        <f>(CK402/12*2*$E402*$G402*$H402*$N402*$CL$11)+(CK402/12*10*$F402*$G402*$H402*$N402*$CL$12)</f>
        <v>0</v>
      </c>
      <c r="CM402" s="130"/>
      <c r="CN402" s="123">
        <f>(CM402/12*2*$E402*$G402*$H402*$N402*$CN$11)+(CM402/12*10*$F402*$G402*$H402*$N402*$CN$11)</f>
        <v>0</v>
      </c>
      <c r="CO402" s="123"/>
      <c r="CP402" s="123">
        <f>(CO402/12*2*$E402*$G402*$H402*$N402*$CP$11)+(CO402/12*10*$F402*$G402*$H402*$N402*$CP$11)</f>
        <v>0</v>
      </c>
      <c r="CQ402" s="123"/>
      <c r="CR402" s="123">
        <f>(CQ402/12*2*$E402*$G402*$H402*$O402*$CR$11)+(CQ402/12*10*$F402*$G402*$H402*$O402*$CR$11)</f>
        <v>0</v>
      </c>
      <c r="CS402" s="123">
        <v>2</v>
      </c>
      <c r="CT402" s="133">
        <f>(CS402/12*2*$E402*$G402*$H402*$P402*$CT$11)+(CS402/12*10*$F402*$G402*$H402*$P402*$CT$11)</f>
        <v>137946.18919999996</v>
      </c>
      <c r="CU402" s="127"/>
      <c r="CV402" s="123">
        <f>(CU402*$E402*$G402*$H402*$M402*CV$11)/12*6+(CU402*$E402*$G402*$H402*1*CV$11)/12*6</f>
        <v>0</v>
      </c>
      <c r="CW402" s="126">
        <f t="shared" ref="CW402:CX404" si="530">SUM(Q402,S402,U402,W402,Y402,AA402,AC402,AE402,AG402,AM402,BQ402,AI402,AU402,CC402,AW402,AY402,AK402,BC402,AO402,AQ402,BE402,CE402,BG402,BI402,BK402,BS402,BM402,BO402,BU402,BW402,BY402,CA402,CG402,BA402,AS402,CI402,CK402,CM402,CO402,CQ402,CS402,CU402)</f>
        <v>388</v>
      </c>
      <c r="CX402" s="126">
        <f t="shared" si="530"/>
        <v>18067644.217493333</v>
      </c>
    </row>
    <row r="403" spans="1:102" ht="30" customHeight="1" x14ac:dyDescent="0.25">
      <c r="A403" s="91"/>
      <c r="B403" s="116">
        <v>329</v>
      </c>
      <c r="C403" s="117" t="s">
        <v>924</v>
      </c>
      <c r="D403" s="161" t="s">
        <v>925</v>
      </c>
      <c r="E403" s="95">
        <v>28004</v>
      </c>
      <c r="F403" s="96">
        <v>29405</v>
      </c>
      <c r="G403" s="119">
        <v>1.43</v>
      </c>
      <c r="H403" s="110">
        <v>0.9</v>
      </c>
      <c r="I403" s="110">
        <v>0.85</v>
      </c>
      <c r="J403" s="108"/>
      <c r="K403" s="108"/>
      <c r="L403" s="63"/>
      <c r="M403" s="120">
        <v>1.4</v>
      </c>
      <c r="N403" s="120">
        <v>1.68</v>
      </c>
      <c r="O403" s="120">
        <v>2.23</v>
      </c>
      <c r="P403" s="121">
        <v>2.57</v>
      </c>
      <c r="Q403" s="204">
        <v>8</v>
      </c>
      <c r="R403" s="123">
        <f>(Q403/12*2*$E403*$G403*$H403*$M403*$R$11)+(Q403/12*10*$F403*$G403*$I403*$M403*$R$11)</f>
        <v>440953.40622666664</v>
      </c>
      <c r="S403" s="124">
        <v>1</v>
      </c>
      <c r="T403" s="125">
        <f>(S403/12*2*$E403*$G403*$H403*$M403*$R$11)+(S403/12*10*$F403*$G403*$I403*$M403*$R$11)</f>
        <v>55119.175778333331</v>
      </c>
      <c r="U403" s="123"/>
      <c r="V403" s="123">
        <f>(U403/12*2*$E403*$G403*$H403*$M403*$V$11)+(U403/12*10*$F403*$G403*$I403*$M403*$V$12)</f>
        <v>0</v>
      </c>
      <c r="W403" s="123"/>
      <c r="X403" s="126">
        <f>(W403/12*2*$E403*$G403*$H403*$M403*$X$11)+(W403/12*10*$F403*$G403*$I403*$M403*$X$12)</f>
        <v>0</v>
      </c>
      <c r="Y403" s="123"/>
      <c r="Z403" s="123">
        <f>(Y403/12*2*$E403*$G403*$H403*$M403*$Z$11)+(Y403/12*10*$F403*$G403*$I403*$M403*$Z$12)</f>
        <v>0</v>
      </c>
      <c r="AA403" s="123"/>
      <c r="AB403" s="123">
        <f>(AA403/12*2*$E403*$G403*$H403*$M403*$AB$11)+(AA403/12*10*$F403*$G403*$I403*$M403*$AB$11)</f>
        <v>0</v>
      </c>
      <c r="AC403" s="123"/>
      <c r="AD403" s="123"/>
      <c r="AE403" s="123">
        <v>107</v>
      </c>
      <c r="AF403" s="127">
        <f>(AE403/12*2*$E403*$G403*$H403*$M403*$AF$11)+(AE403/12*10*$F403*$G403*$I403*$M403*$AF$11)</f>
        <v>5897751.8082816657</v>
      </c>
      <c r="AG403" s="123">
        <f>200-5</f>
        <v>195</v>
      </c>
      <c r="AH403" s="126">
        <f>(AG403/12*2*$E403*$G403*$H403*$M403*$AH$11)+(AG403/12*10*$F403*$G403*$I403*$M403*$AH$11)</f>
        <v>10748239.276775001</v>
      </c>
      <c r="AI403" s="130">
        <v>4</v>
      </c>
      <c r="AJ403" s="123">
        <f t="shared" ref="AJ403:AJ404" si="531">(AI403/12*2*$E403*$G403*$H403*$M403*$AJ$11)+(AI403/12*5*$F403*$G403*$I403*$M403*$AJ$12)+(AI403/12*5*$F403*$G403*$I403*$M403*$AJ$13)</f>
        <v>258895.42679</v>
      </c>
      <c r="AK403" s="123">
        <v>130</v>
      </c>
      <c r="AL403" s="123">
        <f t="shared" ref="AL403:AL404" si="532">(AK403/12*2*$E403*$G403*$H403*$N403*$AL$11)+(AK403/12*5*$F403*$G403*$I403*$N403*$AL$12)+(AK403/12*5*$F403*$G403*$I403*$N403*$AL$13)</f>
        <v>10096921.644810002</v>
      </c>
      <c r="AM403" s="132"/>
      <c r="AN403" s="123">
        <f>(AM403/12*2*$E403*$G403*$H403*$N403*$AN$11)+(AM403/12*10*$F403*$G403*$I403*$N403*$AN$12)</f>
        <v>0</v>
      </c>
      <c r="AO403" s="130">
        <v>4</v>
      </c>
      <c r="AP403" s="127">
        <f>(AO403/12*2*$E403*$G403*$H403*$N403*$AP$11)+(AO403/12*10*$F403*$G403*$I403*$N403*$AP$11)</f>
        <v>264572.04373599996</v>
      </c>
      <c r="AQ403" s="127">
        <v>0</v>
      </c>
      <c r="AR403" s="127">
        <v>0</v>
      </c>
      <c r="AS403" s="123"/>
      <c r="AT403" s="123"/>
      <c r="AU403" s="123"/>
      <c r="AV403" s="126"/>
      <c r="AW403" s="123">
        <v>9</v>
      </c>
      <c r="AX403" s="123">
        <f>(AW403/12*2*$E403*$G403*$H403*$M403*$AX$11)+(AW403/12*10*$F403*$G403*$I403*$M403*$AX$12)</f>
        <v>518652.76963499986</v>
      </c>
      <c r="AY403" s="123">
        <v>20</v>
      </c>
      <c r="AZ403" s="123">
        <f>(AY403/12*2*$E403*$G403*$H403*$N403*$AZ$11)+(AY403/12*10*$F403*$G403*$I403*$N403*$AZ$11)</f>
        <v>1322860.2186800002</v>
      </c>
      <c r="BA403" s="123"/>
      <c r="BB403" s="123">
        <f>(BA403/12*2*$E403*$G403*$H403*$N403*$BB$11)+(BA403/12*10*$F403*$G403*$I403*$N403*$BB$12)</f>
        <v>0</v>
      </c>
      <c r="BC403" s="123"/>
      <c r="BD403" s="126"/>
      <c r="BE403" s="123">
        <v>5</v>
      </c>
      <c r="BF403" s="123">
        <f>(BE403/12*10*$F403*$G403*$I403*$N403*$BF$12)</f>
        <v>250192.44250000003</v>
      </c>
      <c r="BG403" s="123"/>
      <c r="BH403" s="123">
        <f>(BG403/12*2*$E403*$G403*$H403*$N403*$BH$11)+(BG403/12*10*$F403*$G403*$I403*$N403*$BH$11)</f>
        <v>0</v>
      </c>
      <c r="BI403" s="123"/>
      <c r="BJ403" s="126">
        <f>(BI403/12*2*$E403*$G403*$H403*$N403*$BJ$11)+(BI403/12*10*$F403*$G403*$I403*$N403*$BJ$11)</f>
        <v>0</v>
      </c>
      <c r="BK403" s="123">
        <v>31</v>
      </c>
      <c r="BL403" s="127">
        <f>(BK403/12*2*$E403*$G403*$H403*$N403*$BL$11)+(BK403/12*10*$F403*$G403*$I403*$N403*$BL$11)</f>
        <v>2236836.3697680002</v>
      </c>
      <c r="BM403" s="123"/>
      <c r="BN403" s="123">
        <f>(BM403/12*2*$E403*$G403*$H403*$M403*$BN$11)+(BM403/12*10*$F403*$G403*$I403*$M403*$BN$11)</f>
        <v>0</v>
      </c>
      <c r="BO403" s="123"/>
      <c r="BP403" s="123">
        <f>(BO403/12*2*$E403*$G403*$H403*$M403*$BP$11)+(BO403/12*10*$F403*$G403*$I403*$M403*$BP$12)</f>
        <v>0</v>
      </c>
      <c r="BQ403" s="123"/>
      <c r="BR403" s="123">
        <f>(BQ403/12*2*$E403*$G403*$H403*$M403*$BR$11)+(BQ403/12*10*$F403*$G403*$I403*$M403*$BR$11)</f>
        <v>0</v>
      </c>
      <c r="BS403" s="123"/>
      <c r="BT403" s="123">
        <f>(BS403/12*2*$E403*$G403*$H403*$N403*$BT$11)+(BS403/12*10*$F403*$G403*$I403*$N403*$BT$11)</f>
        <v>0</v>
      </c>
      <c r="BU403" s="123"/>
      <c r="BV403" s="126">
        <f>(BU403/12*2*$E403*$G403*$H403*$M403*$BV$11)+(BU403/12*10*$F403*$G403*$I403*$M403*$BV$11)</f>
        <v>0</v>
      </c>
      <c r="BW403" s="123"/>
      <c r="BX403" s="123">
        <f>(BW403/12*2*$E403*$G403*$H403*$M403*$BX$11)+(BW403/12*10*$F403*$G403*$I403*$M403*$BX$11)</f>
        <v>0</v>
      </c>
      <c r="BY403" s="123">
        <v>1</v>
      </c>
      <c r="BZ403" s="123">
        <f>(BY403/12*2*$E403*$G403*$H403*$M403*$BZ$11)+(BY403/12*10*$F403*$G403*$I403*$M403*$BZ$11)</f>
        <v>50108.341616666658</v>
      </c>
      <c r="CA403" s="123">
        <v>15</v>
      </c>
      <c r="CB403" s="123">
        <f>(CA403/12*2*$E403*$G403*$H403*$M403*$CB$11)+(CA403/12*10*$F403*$G403*$I403*$M403*$CB$11)</f>
        <v>901950.14909999992</v>
      </c>
      <c r="CC403" s="123"/>
      <c r="CD403" s="123">
        <f>(CC403/12*2*$E403*$G403*$H403*$M403*$CD$11)+(CC403/12*10*$F403*$G403*$I403*$M403*$CD$11)</f>
        <v>0</v>
      </c>
      <c r="CE403" s="123">
        <v>8</v>
      </c>
      <c r="CF403" s="123">
        <f>(CE403/12*10*$F403*$G403*$I403*$N403*$CF$11)</f>
        <v>400307.90799999994</v>
      </c>
      <c r="CG403" s="132"/>
      <c r="CH403" s="123">
        <f>(CG403/12*2*$E403*$G403*$H403*$N403*$CH$11)+(CG403/12*10*$F403*$G403*$I403*$N403*$CH$11)</f>
        <v>0</v>
      </c>
      <c r="CI403" s="123"/>
      <c r="CJ403" s="127"/>
      <c r="CK403" s="123">
        <v>1</v>
      </c>
      <c r="CL403" s="123">
        <f>(CK403/12*2*$E403*$G403*$H403*$N403*$CL$11)+(CK403/12*10*$F403*$G403*$I403*$N403*$CL$12)</f>
        <v>53107.856801999995</v>
      </c>
      <c r="CM403" s="130"/>
      <c r="CN403" s="123">
        <f>(CM403/12*2*$E403*$G403*$H403*$N403*$CN$11)+(CM403/12*10*$F403*$G403*$I403*$N403*$CN$11)</f>
        <v>0</v>
      </c>
      <c r="CO403" s="123"/>
      <c r="CP403" s="123">
        <f>(CO403/12*2*$E403*$G403*$H403*$N403*$CP$11)+(CO403/12*10*$F403*$G403*$I403*$N403*$CP$11)</f>
        <v>0</v>
      </c>
      <c r="CQ403" s="123"/>
      <c r="CR403" s="123">
        <f>(CQ403/12*2*$E403*$G403*$H403*$O403*$CR$11)+(CQ403/12*10*$F403*$G403*$I403*$O403*$CR$11)</f>
        <v>0</v>
      </c>
      <c r="CS403" s="123"/>
      <c r="CT403" s="133">
        <f>(CS403/12*2*$E403*$G403*$H403*$P403*$CT$11)+(CS403/12*10*$F403*$G403*$I403*$P403*$CT$11)</f>
        <v>0</v>
      </c>
      <c r="CU403" s="127"/>
      <c r="CV403" s="123"/>
      <c r="CW403" s="126">
        <f t="shared" si="530"/>
        <v>539</v>
      </c>
      <c r="CX403" s="126">
        <f t="shared" si="530"/>
        <v>33496468.838499334</v>
      </c>
    </row>
    <row r="404" spans="1:102" ht="30" customHeight="1" x14ac:dyDescent="0.25">
      <c r="A404" s="91"/>
      <c r="B404" s="116">
        <v>330</v>
      </c>
      <c r="C404" s="117" t="s">
        <v>926</v>
      </c>
      <c r="D404" s="161" t="s">
        <v>927</v>
      </c>
      <c r="E404" s="95">
        <v>28004</v>
      </c>
      <c r="F404" s="96">
        <v>29405</v>
      </c>
      <c r="G404" s="107">
        <v>3</v>
      </c>
      <c r="H404" s="110">
        <v>0.95</v>
      </c>
      <c r="I404" s="110">
        <v>0.9</v>
      </c>
      <c r="J404" s="203"/>
      <c r="K404" s="203"/>
      <c r="L404" s="63"/>
      <c r="M404" s="120">
        <v>1.4</v>
      </c>
      <c r="N404" s="120">
        <v>1.68</v>
      </c>
      <c r="O404" s="120">
        <v>2.23</v>
      </c>
      <c r="P404" s="121">
        <v>2.57</v>
      </c>
      <c r="Q404" s="204">
        <v>135</v>
      </c>
      <c r="R404" s="123">
        <f>(Q404/12*2*$E404*$G404*$H404*$M404*$R$11)+(Q404/12*10*$F404*$G404*$I404*$M404*$R$11)</f>
        <v>16520388.885000002</v>
      </c>
      <c r="S404" s="124">
        <v>15</v>
      </c>
      <c r="T404" s="125">
        <f>(S404/12*2*$E404*$G404*$H404*$M404*$R$11)+(S404/12*10*$F404*$G404*$I404*$M404*$R$11)</f>
        <v>1835598.7650000001</v>
      </c>
      <c r="U404" s="123"/>
      <c r="V404" s="123">
        <f>(U404/12*2*$E404*$G404*$H404*$M404*$V$11)+(U404/12*10*$F404*$G404*$I404*$M404*$V$12)</f>
        <v>0</v>
      </c>
      <c r="W404" s="123"/>
      <c r="X404" s="126">
        <f>(W404/12*2*$E404*$G404*$H404*$M404*$X$11)+(W404/12*10*$F404*$G404*$I404*$M404*$X$12)</f>
        <v>0</v>
      </c>
      <c r="Y404" s="123"/>
      <c r="Z404" s="123">
        <f>(Y404/12*2*$E404*$G404*$H404*$M404*$Z$11)+(Y404/12*10*$F404*$G404*$I404*$M404*$Z$12)</f>
        <v>0</v>
      </c>
      <c r="AA404" s="123"/>
      <c r="AB404" s="123">
        <f>(AA404/12*2*$E404*$G404*$H404*$M404*$AB$11)+(AA404/12*10*$F404*$G404*$I404*$M404*$AB$11)</f>
        <v>0</v>
      </c>
      <c r="AC404" s="123"/>
      <c r="AD404" s="123"/>
      <c r="AE404" s="123">
        <v>25</v>
      </c>
      <c r="AF404" s="127">
        <f>(AE404/12*2*$E404*$G404*$H404*$M404*$AF$11)+(AE404/12*10*$F404*$G404*$I404*$M404*$AF$11)</f>
        <v>3059331.2749999999</v>
      </c>
      <c r="AG404" s="123">
        <v>100</v>
      </c>
      <c r="AH404" s="126">
        <f>(AG404/12*2*$E404*$G404*$H404*$M404*$AH$11)+(AG404/12*10*$F404*$G404*$I404*$M404*$AH$11)</f>
        <v>12237325.1</v>
      </c>
      <c r="AI404" s="130">
        <v>61</v>
      </c>
      <c r="AJ404" s="123">
        <f t="shared" si="531"/>
        <v>8765497.2055000011</v>
      </c>
      <c r="AK404" s="123">
        <v>3</v>
      </c>
      <c r="AL404" s="123">
        <f t="shared" si="532"/>
        <v>517308.0318</v>
      </c>
      <c r="AM404" s="129">
        <v>0</v>
      </c>
      <c r="AN404" s="123">
        <f>(AM404/12*2*$E404*$G404*$H404*$N404*$AN$11)+(AM404/12*10*$F404*$G404*$I404*$N404*$AN$12)</f>
        <v>0</v>
      </c>
      <c r="AO404" s="130"/>
      <c r="AP404" s="127">
        <f>(AO404/12*2*$E404*$G404*$H404*$N404*$AP$11)+(AO404/12*10*$F404*$G404*$I404*$N404*$AP$11)</f>
        <v>0</v>
      </c>
      <c r="AQ404" s="127">
        <v>0</v>
      </c>
      <c r="AR404" s="127">
        <v>0</v>
      </c>
      <c r="AS404" s="123"/>
      <c r="AT404" s="123"/>
      <c r="AU404" s="123"/>
      <c r="AV404" s="126"/>
      <c r="AW404" s="123"/>
      <c r="AX404" s="123">
        <f>(AW404/12*2*$E404*$G404*$H404*$M404*$AX$11)+(AW404/12*10*$F404*$G404*$I404*$M404*$AX$12)</f>
        <v>0</v>
      </c>
      <c r="AY404" s="123">
        <v>2</v>
      </c>
      <c r="AZ404" s="123">
        <f>(AY404/12*2*$E404*$G404*$H404*$N404*$AZ$11)+(AY404/12*10*$F404*$G404*$I404*$N404*$AZ$11)</f>
        <v>293695.80240000004</v>
      </c>
      <c r="BA404" s="123"/>
      <c r="BB404" s="123">
        <f>(BA404/12*2*$E404*$G404*$H404*$N404*$BB$11)+(BA404/12*10*$F404*$G404*$I404*$N404*$BB$12)</f>
        <v>0</v>
      </c>
      <c r="BC404" s="123"/>
      <c r="BD404" s="126"/>
      <c r="BE404" s="123"/>
      <c r="BF404" s="123">
        <f>(BE404/12*10*$F404*$G404*$I404*$N404*$BF$12)</f>
        <v>0</v>
      </c>
      <c r="BG404" s="123"/>
      <c r="BH404" s="123">
        <f>(BG404/12*2*$E404*$G404*$H404*$N404*$BH$11)+(BG404/12*10*$F404*$G404*$I404*$N404*$BH$11)</f>
        <v>0</v>
      </c>
      <c r="BI404" s="123">
        <v>10</v>
      </c>
      <c r="BJ404" s="126">
        <f>(BI404/12*2*$E404*$G404*$H404*$N404*$BJ$11)+(BI404/12*10*$F404*$G404*$I404*$N404*$BJ$11)</f>
        <v>1601977.1040000001</v>
      </c>
      <c r="BK404" s="123">
        <v>1</v>
      </c>
      <c r="BL404" s="127">
        <f>(BK404/12*2*$E404*$G404*$H404*$N404*$BL$11)+(BK404/12*10*$F404*$G404*$I404*$N404*$BL$11)</f>
        <v>160197.71039999998</v>
      </c>
      <c r="BM404" s="123"/>
      <c r="BN404" s="123">
        <f>(BM404/12*2*$E404*$G404*$H404*$M404*$BN$11)+(BM404/12*10*$F404*$G404*$I404*$M404*$BN$11)</f>
        <v>0</v>
      </c>
      <c r="BO404" s="123"/>
      <c r="BP404" s="123">
        <f>(BO404/12*2*$E404*$G404*$H404*$M404*$BP$11)+(BO404/12*10*$F404*$G404*$I404*$M404*$BP$12)</f>
        <v>0</v>
      </c>
      <c r="BQ404" s="123"/>
      <c r="BR404" s="123">
        <f>(BQ404/12*2*$E404*$G404*$H404*$M404*$BR$11)+(BQ404/12*10*$F404*$G404*$I404*$M404*$BR$11)</f>
        <v>0</v>
      </c>
      <c r="BS404" s="123"/>
      <c r="BT404" s="123">
        <f>(BS404/12*2*$E404*$G404*$H404*$N404*$BT$11)+(BS404/12*10*$F404*$G404*$I404*$N404*$BT$11)</f>
        <v>0</v>
      </c>
      <c r="BU404" s="123"/>
      <c r="BV404" s="126">
        <f>(BU404/12*2*$E404*$G404*$H404*$M404*$BV$11)+(BU404/12*10*$F404*$G404*$I404*$M404*$BV$11)</f>
        <v>0</v>
      </c>
      <c r="BW404" s="123"/>
      <c r="BX404" s="123">
        <f>(BW404/12*2*$E404*$G404*$H404*$M404*$BX$11)+(BW404/12*10*$F404*$G404*$I404*$M404*$BX$11)</f>
        <v>0</v>
      </c>
      <c r="BY404" s="123"/>
      <c r="BZ404" s="123">
        <f>(BY404/12*2*$E404*$G404*$H404*$M404*$BZ$11)+(BY404/12*10*$F404*$G404*$I404*$M404*$BZ$11)</f>
        <v>0</v>
      </c>
      <c r="CA404" s="123">
        <v>35</v>
      </c>
      <c r="CB404" s="123">
        <f>(CA404/12*2*$E404*$G404*$H404*$M404*$CB$11)+(CA404/12*10*$F404*$G404*$I404*$M404*$CB$11)</f>
        <v>4672433.22</v>
      </c>
      <c r="CC404" s="123"/>
      <c r="CD404" s="123">
        <f>(CC404/12*2*$E404*$G404*$H404*$M404*$CD$11)+(CC404/12*10*$F404*$G404*$I404*$M404*$CD$11)</f>
        <v>0</v>
      </c>
      <c r="CE404" s="123"/>
      <c r="CF404" s="123">
        <f>(CE404/12*10*$F404*$G404*$I404*$N404*$CF$11)</f>
        <v>0</v>
      </c>
      <c r="CG404" s="132"/>
      <c r="CH404" s="123">
        <f>(CG404/12*2*$E404*$G404*$H404*$N404*$CH$11)+(CG404/12*10*$F404*$G404*$I404*$N404*$CH$11)</f>
        <v>0</v>
      </c>
      <c r="CI404" s="123"/>
      <c r="CJ404" s="127"/>
      <c r="CK404" s="123"/>
      <c r="CL404" s="123">
        <f>(CK404/12*2*$E404*$G404*$H404*$N404*$CL$11)+(CK404/12*10*$F404*$G404*$I404*$N404*$CL$12)</f>
        <v>0</v>
      </c>
      <c r="CM404" s="130"/>
      <c r="CN404" s="123">
        <f>(CM404/12*2*$E404*$G404*$H404*$N404*$CN$11)+(CM404/12*10*$F404*$G404*$I404*$N404*$CN$11)</f>
        <v>0</v>
      </c>
      <c r="CO404" s="123"/>
      <c r="CP404" s="123">
        <f>(CO404/12*2*$E404*$G404*$H404*$N404*$CP$11)+(CO404/12*10*$F404*$G404*$I404*$N404*$CP$11)</f>
        <v>0</v>
      </c>
      <c r="CQ404" s="123"/>
      <c r="CR404" s="123">
        <f>(CQ404/12*2*$E404*$G404*$H404*$O404*$CR$11)+(CQ404/12*10*$F404*$G404*$I404*$O404*$CR$11)</f>
        <v>0</v>
      </c>
      <c r="CS404" s="123"/>
      <c r="CT404" s="133">
        <f>(CS404/12*2*$E404*$G404*$H404*$P404*$CT$11)+(CS404/12*10*$F404*$G404*$I404*$P404*$CT$11)</f>
        <v>0</v>
      </c>
      <c r="CU404" s="127"/>
      <c r="CV404" s="123"/>
      <c r="CW404" s="126">
        <f t="shared" si="530"/>
        <v>387</v>
      </c>
      <c r="CX404" s="126">
        <f t="shared" si="530"/>
        <v>49663753.099100001</v>
      </c>
    </row>
    <row r="405" spans="1:102" ht="30" customHeight="1" x14ac:dyDescent="0.25">
      <c r="A405" s="91"/>
      <c r="B405" s="116">
        <v>331</v>
      </c>
      <c r="C405" s="117" t="s">
        <v>928</v>
      </c>
      <c r="D405" s="161" t="s">
        <v>929</v>
      </c>
      <c r="E405" s="95">
        <v>28004</v>
      </c>
      <c r="F405" s="96">
        <v>29405</v>
      </c>
      <c r="G405" s="107">
        <v>4.3</v>
      </c>
      <c r="H405" s="107">
        <v>1</v>
      </c>
      <c r="I405" s="108"/>
      <c r="J405" s="108"/>
      <c r="K405" s="108"/>
      <c r="L405" s="63"/>
      <c r="M405" s="120">
        <v>1.4</v>
      </c>
      <c r="N405" s="120">
        <v>1.68</v>
      </c>
      <c r="O405" s="120">
        <v>2.23</v>
      </c>
      <c r="P405" s="121">
        <v>2.57</v>
      </c>
      <c r="Q405" s="204">
        <v>8</v>
      </c>
      <c r="R405" s="123">
        <f>(Q405/12*2*$E405*$G405*$H405*$M405)+(Q405/12*10*$F405*$G405*$H405*$M405)</f>
        <v>1404899.44</v>
      </c>
      <c r="S405" s="124">
        <v>1</v>
      </c>
      <c r="T405" s="125">
        <f>(S405/12*2*$E405*$G405*$H405*$M405)+(S405/12*10*$F405*$G405*$H405*$M405)</f>
        <v>175612.43</v>
      </c>
      <c r="U405" s="123"/>
      <c r="V405" s="123">
        <f>(U405/12*2*$E405*$G405*$H405*$M405)+(U405/12*10*$F405*$G405*$H405*$M405)</f>
        <v>0</v>
      </c>
      <c r="W405" s="123"/>
      <c r="X405" s="123">
        <f>(W405/12*2*$E405*$G405*$H405*$M405)+(W405/12*10*$F405*$G405*$H405*$M405)</f>
        <v>0</v>
      </c>
      <c r="Y405" s="123"/>
      <c r="Z405" s="123">
        <f>(Y405/12*2*$E405*$G405*$H405*$M405)+(Y405/12*10*$F405*$G405*$H405*$M405)</f>
        <v>0</v>
      </c>
      <c r="AA405" s="123"/>
      <c r="AB405" s="123">
        <f>(AA405/12*2*$E405*$G405*$H405*$M405)+(AA405/12*10*$F405*$G405*$H405*$M405)</f>
        <v>0</v>
      </c>
      <c r="AC405" s="123"/>
      <c r="AD405" s="123"/>
      <c r="AE405" s="123"/>
      <c r="AF405" s="127">
        <f>(AE405/12*2*$E405*$G405*$H405*$M405)+(AE405/12*10*$F405*$G405*$H405*$M405)</f>
        <v>0</v>
      </c>
      <c r="AG405" s="123">
        <f>10-2</f>
        <v>8</v>
      </c>
      <c r="AH405" s="123">
        <f>(AG405/12*2*$E405*$G405*$H405*$M405)+(AG405/12*10*$F405*$G405*$H405*$M405)</f>
        <v>1404899.44</v>
      </c>
      <c r="AI405" s="130">
        <v>2</v>
      </c>
      <c r="AJ405" s="123">
        <f>(AI405/12*2*$E405*$G405*$H405*$M405)+(AI405/12*10*$F405*$G405*$H405*$M405)</f>
        <v>351224.86</v>
      </c>
      <c r="AK405" s="123"/>
      <c r="AL405" s="126">
        <f>(AK405/12*2*$E405*$G405*$H405*$N405)+(AK405/12*10*$F405*$G405*$H405*$N405)</f>
        <v>0</v>
      </c>
      <c r="AM405" s="132">
        <v>0</v>
      </c>
      <c r="AN405" s="123">
        <f>(AM405/12*2*$E405*$G405*$H405*$N405)+(AM405/12*10*$F405*$G405*$H405*$N405)</f>
        <v>0</v>
      </c>
      <c r="AO405" s="130"/>
      <c r="AP405" s="123">
        <f>(AO405/12*2*$E405*$G405*$H405*$N405)+(AO405/12*10*$F405*$G405*$H405*$N405)</f>
        <v>0</v>
      </c>
      <c r="AQ405" s="123">
        <v>0</v>
      </c>
      <c r="AR405" s="123">
        <v>0</v>
      </c>
      <c r="AS405" s="123"/>
      <c r="AT405" s="123"/>
      <c r="AU405" s="123"/>
      <c r="AV405" s="123"/>
      <c r="AW405" s="123"/>
      <c r="AX405" s="123">
        <f>(AW405/12*2*$E405*$G405*$H405*$M405)+(AW405/12*10*$F405*$G405*$H405*$M405)</f>
        <v>0</v>
      </c>
      <c r="AY405" s="123">
        <v>1</v>
      </c>
      <c r="AZ405" s="123">
        <f>(AY405/12*2*$E405*$G405*$H405*$N405)+(AY405/12*10*$F405*$G405*$H405*$N405)</f>
        <v>210734.91599999997</v>
      </c>
      <c r="BA405" s="123"/>
      <c r="BB405" s="123">
        <f>(BA405/12*2*$E405*$G405*$H405*$N405)+(BA405/12*10*$F405*$G405*$H405*$N405)</f>
        <v>0</v>
      </c>
      <c r="BC405" s="123"/>
      <c r="BD405" s="123">
        <f>(BC405/12*2*$E405*$G405*$H405*$N405)+(BC405/12*10*$F405*$G405*$H405*$N405)</f>
        <v>0</v>
      </c>
      <c r="BE405" s="123"/>
      <c r="BF405" s="123">
        <f>(BE405/12*10*$F405*$G405*$H405*$N405)</f>
        <v>0</v>
      </c>
      <c r="BG405" s="123"/>
      <c r="BH405" s="123">
        <f>(BG405/12*2*$E405*$G405*$H405*$N405)+(BG405/12*10*$F405*$G405*$H405*$N405)</f>
        <v>0</v>
      </c>
      <c r="BI405" s="123"/>
      <c r="BJ405" s="123">
        <f>(BI405/12*2*$E405*$G405*$H405*$N405)+(BI405/12*10*$F405*$G405*$H405*$N405)</f>
        <v>0</v>
      </c>
      <c r="BK405" s="123"/>
      <c r="BL405" s="123">
        <f>(BK405/12*2*$E405*$G405*$H405*$N405)+(BK405/12*10*$F405*$G405*$H405*$N405)</f>
        <v>0</v>
      </c>
      <c r="BM405" s="123"/>
      <c r="BN405" s="123">
        <f>(BM405/12*2*$E405*$G405*$H405*$M405)+(BM405/12*10*$F405*$G405*$H405*$M405)</f>
        <v>0</v>
      </c>
      <c r="BO405" s="123"/>
      <c r="BP405" s="123">
        <f>(BO405/12*2*$E405*$G405*$H405*$M405)+(BO405/12*10*$F405*$G405*$H405*$M405)</f>
        <v>0</v>
      </c>
      <c r="BQ405" s="123"/>
      <c r="BR405" s="123">
        <f>(BQ405/12*2*$E405*$G405*$H405*$M405)+(BQ405/12*10*$F405*$G405*$H405*$M405)</f>
        <v>0</v>
      </c>
      <c r="BS405" s="123"/>
      <c r="BT405" s="123">
        <f>(BS405/12*2*$E405*$G405*$H405*$N405)+(BS405/12*10*$F405*$G405*$H405*$N405)</f>
        <v>0</v>
      </c>
      <c r="BU405" s="123"/>
      <c r="BV405" s="123">
        <f>(BU405/12*2*$E405*$G405*$H405*$M405)+(BU405/12*10*$F405*$G405*$H405*$M405)</f>
        <v>0</v>
      </c>
      <c r="BW405" s="123"/>
      <c r="BX405" s="123">
        <f>(BW405/12*2*$E405*$G405*$H405*$M405)+(BW405/12*10*$F405*$G405*$H405*$M405)</f>
        <v>0</v>
      </c>
      <c r="BY405" s="123"/>
      <c r="BZ405" s="123">
        <f>(BY405/12*2*$E405*$G405*$H405*$M405)+(BY405/12*10*$F405*$G405*$H405*$M405)</f>
        <v>0</v>
      </c>
      <c r="CA405" s="123"/>
      <c r="CB405" s="123">
        <f>(CA405/12*2*$E405*$G405*$H405*$M405)+(CA405/12*10*$F405*$G405*$H405*$M405)</f>
        <v>0</v>
      </c>
      <c r="CC405" s="123"/>
      <c r="CD405" s="123">
        <f>(CC405/12*2*$E405*$G405*$H405*$M405)+(CC405/12*10*$F405*$G405*$H405*$M405)</f>
        <v>0</v>
      </c>
      <c r="CE405" s="123"/>
      <c r="CF405" s="123">
        <f>(CE405/12*10*$F405*$G405*$H405*$N405)</f>
        <v>0</v>
      </c>
      <c r="CG405" s="132"/>
      <c r="CH405" s="123">
        <f>(CG405/12*2*$E405*$G405*$H405*$N405)+(CG405/12*10*$F405*$G405*$H405*$N405)</f>
        <v>0</v>
      </c>
      <c r="CI405" s="123"/>
      <c r="CJ405" s="127">
        <f>(CI405*$E405*$G405*$H405*$N405)</f>
        <v>0</v>
      </c>
      <c r="CK405" s="123"/>
      <c r="CL405" s="123">
        <f>(CK405/12*2*$E405*$G405*$H405*$N405)+(CK405/12*10*$F405*$G405*$H405*$N405)</f>
        <v>0</v>
      </c>
      <c r="CM405" s="130"/>
      <c r="CN405" s="123">
        <f>(CM405/12*2*$E405*$G405*$H405*$N405)+(CM405/12*10*$F405*$G405*$H405*$N405)</f>
        <v>0</v>
      </c>
      <c r="CO405" s="123"/>
      <c r="CP405" s="123">
        <f>(CO405/12*2*$E405*$G405*$H405*$N405)+(CO405/12*10*$F405*$G405*$H405*$N405)</f>
        <v>0</v>
      </c>
      <c r="CQ405" s="123"/>
      <c r="CR405" s="123">
        <f>(CQ405/12*2*$E405*$G405*$H405*$O405)+(CQ405/12*10*$F405*$G405*$H405*$O405)</f>
        <v>0</v>
      </c>
      <c r="CS405" s="123"/>
      <c r="CT405" s="127">
        <f>(CS405/12*2*$E405*$G405*$H405*$P405)+(CS405/12*10*$F405*$G405*$H405*$P405)</f>
        <v>0</v>
      </c>
      <c r="CU405" s="127"/>
      <c r="CV405" s="127"/>
      <c r="CW405" s="126">
        <f>SUM(Q405,S405,U405,W405,Y405,AA405,AC405,AE405,AG405,AM405,BQ405,AI405,AU405,CC405,AW405,AY405,AK405,BC405,AO405,AQ405,BE405,CE405,BG405,BI405,BK405,BS405,BM405,BO405,BU405,BW405,BY405,CA405,CG405,BA405,AS405,CI405,CK405,CM405,CO405,CQ405,CS405,CU405)</f>
        <v>20</v>
      </c>
      <c r="CX405" s="126">
        <f>SUM(R405,T405,V405,X405,Z405,AB405,AD405,AF405,AH405,AN405,BR405,AJ405,AV405,CD405,AX405,AZ405,AL405,BD405,AP405,AR405,BF405,CF405,BH405,BJ405,BL405,BT405,BN405,BP405,BV405,BX405,BZ405,CB405,CH405,BB405,AT405,CJ405,CL405,CN405,CP405,CR405,CT405,CV405)</f>
        <v>3547371.0859999992</v>
      </c>
    </row>
    <row r="406" spans="1:102" ht="30" customHeight="1" x14ac:dyDescent="0.25">
      <c r="A406" s="91"/>
      <c r="B406" s="116">
        <v>332</v>
      </c>
      <c r="C406" s="117" t="s">
        <v>930</v>
      </c>
      <c r="D406" s="161" t="s">
        <v>931</v>
      </c>
      <c r="E406" s="95">
        <v>28004</v>
      </c>
      <c r="F406" s="96">
        <v>29405</v>
      </c>
      <c r="G406" s="119">
        <v>2.42</v>
      </c>
      <c r="H406" s="107">
        <v>1</v>
      </c>
      <c r="I406" s="108"/>
      <c r="J406" s="108"/>
      <c r="K406" s="108"/>
      <c r="L406" s="63"/>
      <c r="M406" s="120">
        <v>1.4</v>
      </c>
      <c r="N406" s="120">
        <v>1.68</v>
      </c>
      <c r="O406" s="120">
        <v>2.23</v>
      </c>
      <c r="P406" s="121">
        <v>2.57</v>
      </c>
      <c r="Q406" s="204">
        <v>10</v>
      </c>
      <c r="R406" s="123">
        <f>(Q406/12*2*$E406*$G406*$H406*$M406*$R$11)+(Q406/12*10*$F406*$G406*$H406*$M406*$R$11)</f>
        <v>1087163.4620000001</v>
      </c>
      <c r="S406" s="124">
        <f>5+1</f>
        <v>6</v>
      </c>
      <c r="T406" s="125">
        <f>(S406/12*2*$E406*$G406*$H406*$M406*$R$11)+(S406/12*10*$F406*$G406*$H406*$M406*$R$11)</f>
        <v>652298.07719999994</v>
      </c>
      <c r="U406" s="123">
        <v>1</v>
      </c>
      <c r="V406" s="123">
        <f>(U406/12*2*$E406*$G406*$H406*$M406*$V$11)+(U406/12*10*$F406*$G406*$H406*$M406*$V$12)</f>
        <v>132554.85063333332</v>
      </c>
      <c r="W406" s="123"/>
      <c r="X406" s="126">
        <f>(W406/12*2*$E406*$G406*$H406*$M406*$X$11)+(W406/12*10*$F406*$G406*$H406*$M406*$X$12)</f>
        <v>0</v>
      </c>
      <c r="Y406" s="123">
        <v>1</v>
      </c>
      <c r="Z406" s="123">
        <f>Y406*$F406*$G406*$H406*$M406*$Z$12</f>
        <v>132500.10619999998</v>
      </c>
      <c r="AA406" s="123"/>
      <c r="AB406" s="123">
        <f>(AA406/12*2*$E406*$G406*$H406*$M406*$AB$11)+(AA406/12*10*$F406*$G406*$H406*$M406*$AB$11)</f>
        <v>0</v>
      </c>
      <c r="AC406" s="123"/>
      <c r="AD406" s="123"/>
      <c r="AE406" s="123">
        <v>5</v>
      </c>
      <c r="AF406" s="127">
        <f>(AE406/12*2*$E406*$G406*$H406*$M406*$AF$11)+(AE406/12*10*$F406*$G406*$H406*$M406*$AF$11)</f>
        <v>543581.73100000003</v>
      </c>
      <c r="AG406" s="123">
        <v>20</v>
      </c>
      <c r="AH406" s="126">
        <f>(AG406/12*2*$E406*$G406*$H406*$M406*$AH$11)+(AG406/12*10*$F406*$G406*$H406*$M406*$AH$11)</f>
        <v>2174326.9240000001</v>
      </c>
      <c r="AI406" s="130">
        <v>1</v>
      </c>
      <c r="AJ406" s="123">
        <f t="shared" ref="AJ406:AJ407" si="533">(AI406/12*2*$E406*$G406*$H406*$M406*$AJ$11)+(AI406/12*5*$F406*$G406*$H406*$M406*$AJ$12)+(AI406/12*5*$F406*$G406*$H406*$M406*$AJ$13)</f>
        <v>127652.75343333333</v>
      </c>
      <c r="AK406" s="123">
        <v>20</v>
      </c>
      <c r="AL406" s="123">
        <f t="shared" ref="AL406:AL407" si="534">(AK406/12*2*$E406*$G406*$H406*$N406*$AL$11)+(AK406/12*5*$F406*$G406*$H406*$N406*$AL$12)++(AK406/12*5*$F406*$G406*$H406*$N406*$AL$13)</f>
        <v>3063666.0824000002</v>
      </c>
      <c r="AM406" s="132">
        <v>4</v>
      </c>
      <c r="AN406" s="123">
        <f>(AM406/12*2*$E406*$G406*$H406*$N406*$AN$11)+(AM406/12*10*$F406*$G406*$H406*$N406*$AN$12)</f>
        <v>636263.28303999989</v>
      </c>
      <c r="AO406" s="130"/>
      <c r="AP406" s="127">
        <f>(AO406/12*2*$E406*$G406*$H406*$N406*$AP$11)+(AO406/12*10*$F406*$G406*$H406*$N406*$AP$11)</f>
        <v>0</v>
      </c>
      <c r="AQ406" s="127">
        <v>0</v>
      </c>
      <c r="AR406" s="127">
        <v>0</v>
      </c>
      <c r="AS406" s="123"/>
      <c r="AT406" s="123">
        <f>(AS406/12*2*$E406*$G406*$H406*$M406*$AT$11)+(AS406/12*10*$F406*$G406*$H406*$M406*$AT$11)</f>
        <v>0</v>
      </c>
      <c r="AU406" s="123"/>
      <c r="AV406" s="126">
        <f>(AU406/12*2*$E406*$G406*$H406*$M406*$AV$11)+(AU406/12*10*$F406*$G406*$H406*$M406*$AV$12)</f>
        <v>0</v>
      </c>
      <c r="AW406" s="123"/>
      <c r="AX406" s="123">
        <f>(AW406/12*2*$E406*$G406*$H406*$M406*$AX$11)+(AW406/12*10*$F406*$G406*$H406*$M406*$AX$12)</f>
        <v>0</v>
      </c>
      <c r="AY406" s="123">
        <v>8</v>
      </c>
      <c r="AZ406" s="123">
        <f>(AY406/12*2*$E406*$G406*$H406*$N406*$AZ$11)+(AY406/12*10*$F406*$G406*$H406*$N406*$AZ$11)</f>
        <v>1043676.92352</v>
      </c>
      <c r="BA406" s="123"/>
      <c r="BB406" s="123">
        <f>(BA406/12*2*$E406*$G406*$H406*$N406*$BB$11)+(BA406/12*10*$F406*$G406*$H406*$N406*$BB$12)</f>
        <v>0</v>
      </c>
      <c r="BC406" s="123"/>
      <c r="BD406" s="126">
        <f>(BC406/12*2*$E406*$G406*$H406*$N406*$BD$11)+(BC406/12*10*$F406*$G406*$H406*$N406*$BD$12)</f>
        <v>0</v>
      </c>
      <c r="BE406" s="123"/>
      <c r="BF406" s="123">
        <f>(BE406/12*10*$F406*$G406*$H406*$N406*$BF$12)</f>
        <v>0</v>
      </c>
      <c r="BG406" s="123"/>
      <c r="BH406" s="123">
        <f>(BG406/12*2*$E406*$G406*$H406*$N406*$BH$11)+(BG406/12*10*$F406*$G406*$H406*$N406*$BH$11)</f>
        <v>0</v>
      </c>
      <c r="BI406" s="123"/>
      <c r="BJ406" s="126">
        <f>(BI406/12*2*$E406*$G406*$H406*$N406*$BJ$11)+(BI406/12*10*$F406*$G406*$H406*$N406*$BJ$11)</f>
        <v>0</v>
      </c>
      <c r="BK406" s="123">
        <v>1</v>
      </c>
      <c r="BL406" s="127">
        <f>(BK406/12*2*$E406*$G406*$H406*$N406*$BL$11)+(BK406/12*10*$F406*$G406*$H406*$N406*$BL$11)</f>
        <v>142319.58047999998</v>
      </c>
      <c r="BM406" s="123"/>
      <c r="BN406" s="123">
        <f>(BM406/12*2*$E406*$G406*$H406*$M406*$BN$11)+(BM406/12*10*$F406*$G406*$H406*$M406*$BN$11)</f>
        <v>0</v>
      </c>
      <c r="BO406" s="123"/>
      <c r="BP406" s="123">
        <f>(BO406/12*2*$E406*$G406*$H406*$M406*$BP$11)+(BO406/12*10*$F406*$G406*$H406*$M406*$BP$12)</f>
        <v>0</v>
      </c>
      <c r="BQ406" s="123"/>
      <c r="BR406" s="123">
        <f>(BQ406/12*2*$E406*$G406*$H406*$M406*$BR$11)+(BQ406/12*10*$F406*$G406*$H406*$M406*$BR$11)</f>
        <v>0</v>
      </c>
      <c r="BS406" s="123">
        <v>1</v>
      </c>
      <c r="BT406" s="123">
        <f>(BS406/12*2*$E406*$G406*$H406*$N406*$BT$11)+(BS406/12*10*$F406*$G406*$H406*$N406*$BT$11)</f>
        <v>118599.65039999998</v>
      </c>
      <c r="BU406" s="123"/>
      <c r="BV406" s="126">
        <f>(BU406/12*2*$E406*$G406*$H406*$M406*$BV$11)+(BU406/12*10*$F406*$G406*$H406*$M406*$BV$11)</f>
        <v>0</v>
      </c>
      <c r="BW406" s="123"/>
      <c r="BX406" s="123">
        <f>(BW406/12*2*$E406*$G406*$H406*$M406*$BX$11)+(BW406/12*10*$F406*$G406*$H406*$M406*$BX$11)</f>
        <v>0</v>
      </c>
      <c r="BY406" s="123"/>
      <c r="BZ406" s="123">
        <f>(BY406/12*2*$E406*$G406*$H406*$M406*$BZ$11)+(BY406/12*10*$F406*$G406*$H406*$M406*$BZ$11)</f>
        <v>0</v>
      </c>
      <c r="CA406" s="123">
        <v>5</v>
      </c>
      <c r="CB406" s="123">
        <f>(CA406/12*2*$E406*$G406*$H406*$M406*$CB$11)+(CA406/12*10*$F406*$G406*$H406*$M406*$CB$11)</f>
        <v>592998.25199999998</v>
      </c>
      <c r="CC406" s="123"/>
      <c r="CD406" s="123">
        <f>(CC406/12*2*$E406*$G406*$H406*$M406*$CD$11)+(CC406/12*10*$F406*$G406*$H406*$M406*$CD$11)</f>
        <v>0</v>
      </c>
      <c r="CE406" s="123"/>
      <c r="CF406" s="123">
        <f>(CE406/12*10*$F406*$G406*$H406*$N406*$CF$11)</f>
        <v>0</v>
      </c>
      <c r="CG406" s="132"/>
      <c r="CH406" s="123">
        <f>(CG406/12*2*$E406*$G406*$H406*$N406*$CH$11)+(CG406/12*10*$F406*$G406*$H406*$N406*$CH$11)</f>
        <v>0</v>
      </c>
      <c r="CI406" s="123"/>
      <c r="CJ406" s="127"/>
      <c r="CK406" s="123"/>
      <c r="CL406" s="123">
        <f>(CK406/12*2*$E406*$G406*$H406*$N406*$CL$11)+(CK406/12*10*$F406*$G406*$H406*$N406*$CL$12)</f>
        <v>0</v>
      </c>
      <c r="CM406" s="130"/>
      <c r="CN406" s="123">
        <f>(CM406/12*2*$E406*$G406*$H406*$N406*$CN$11)+(CM406/12*10*$F406*$G406*$H406*$N406*$CN$11)</f>
        <v>0</v>
      </c>
      <c r="CO406" s="123"/>
      <c r="CP406" s="123">
        <f>(CO406/12*2*$E406*$G406*$H406*$N406*$CP$11)+(CO406/12*10*$F406*$G406*$H406*$N406*$CP$11)</f>
        <v>0</v>
      </c>
      <c r="CQ406" s="123"/>
      <c r="CR406" s="123">
        <f>(CQ406/12*2*$E406*$G406*$H406*$O406*$CR$11)+(CQ406/12*10*$F406*$G406*$H406*$O406*$CR$11)</f>
        <v>0</v>
      </c>
      <c r="CS406" s="123"/>
      <c r="CT406" s="133">
        <f>(CS406/12*2*$E406*$G406*$H406*$P406*$CT$11)+(CS406/12*10*$F406*$G406*$H406*$P406*$CT$11)</f>
        <v>0</v>
      </c>
      <c r="CU406" s="127"/>
      <c r="CV406" s="123">
        <f>(CU406*$E406*$G406*$H406*$M406*CV$11)/12*6+(CU406*$E406*$G406*$H406*1*CV$11)/12*6</f>
        <v>0</v>
      </c>
      <c r="CW406" s="126">
        <f t="shared" ref="CW406:CX421" si="535">SUM(Q406,S406,U406,W406,Y406,AA406,AC406,AE406,AG406,AM406,BQ406,AI406,AU406,CC406,AW406,AY406,AK406,BC406,AO406,AQ406,BE406,CE406,BG406,BI406,BK406,BS406,BM406,BO406,BU406,BW406,BY406,CA406,CG406,BA406,AS406,CI406,CK406,CM406,CO406,CQ406,CS406,CU406)</f>
        <v>83</v>
      </c>
      <c r="CX406" s="126">
        <f t="shared" si="535"/>
        <v>10447601.676306667</v>
      </c>
    </row>
    <row r="407" spans="1:102" ht="30" customHeight="1" x14ac:dyDescent="0.25">
      <c r="A407" s="91"/>
      <c r="B407" s="116">
        <v>333</v>
      </c>
      <c r="C407" s="117" t="s">
        <v>932</v>
      </c>
      <c r="D407" s="161" t="s">
        <v>933</v>
      </c>
      <c r="E407" s="95">
        <v>28004</v>
      </c>
      <c r="F407" s="96">
        <v>29405</v>
      </c>
      <c r="G407" s="119">
        <v>2.69</v>
      </c>
      <c r="H407" s="107">
        <v>1</v>
      </c>
      <c r="I407" s="108"/>
      <c r="J407" s="108"/>
      <c r="K407" s="108"/>
      <c r="L407" s="63"/>
      <c r="M407" s="120">
        <v>1.4</v>
      </c>
      <c r="N407" s="120">
        <v>1.68</v>
      </c>
      <c r="O407" s="120">
        <v>2.23</v>
      </c>
      <c r="P407" s="121">
        <v>2.57</v>
      </c>
      <c r="Q407" s="204">
        <v>10</v>
      </c>
      <c r="R407" s="123">
        <f>(Q407/12*2*$E407*$G407*$H407*$M407*$R$11)+(Q407/12*10*$F407*$G407*$H407*$M407*$R$11)</f>
        <v>1208458.5590000001</v>
      </c>
      <c r="S407" s="124">
        <v>1</v>
      </c>
      <c r="T407" s="125">
        <f>(S407/12*2*$E407*$G407*$H407*$M407*$R$11)+(S407/12*10*$F407*$G407*$H407*$M407*$R$11)</f>
        <v>120845.8559</v>
      </c>
      <c r="U407" s="123">
        <v>2</v>
      </c>
      <c r="V407" s="123">
        <f>(U407/12*2*$E407*$G407*$H407*$M407*$V$11)+(U407/12*10*$F407*$G407*$H407*$M407*$V$12)</f>
        <v>294688.05636666663</v>
      </c>
      <c r="W407" s="123">
        <v>0</v>
      </c>
      <c r="X407" s="126">
        <f>(W407/12*2*$E407*$G407*$H407*$M407*$X$11)+(W407/12*10*$F407*$G407*$H407*$M407*$X$12)</f>
        <v>0</v>
      </c>
      <c r="Y407" s="123">
        <v>12</v>
      </c>
      <c r="Z407" s="123">
        <f>(Y407/12*2*$E407*$G407*$H407*$M407*$Z$11)+(Y407/12*10*$F407*$G407*$H407*$M407*$Z$12)</f>
        <v>1768128.3381999996</v>
      </c>
      <c r="AA407" s="123"/>
      <c r="AB407" s="123">
        <f>(AA407/12*2*$E407*$G407*$H407*$M407*$AB$11)+(AA407/12*10*$F407*$G407*$H407*$M407*$AB$11)</f>
        <v>0</v>
      </c>
      <c r="AC407" s="123"/>
      <c r="AD407" s="123"/>
      <c r="AE407" s="123">
        <v>5</v>
      </c>
      <c r="AF407" s="127">
        <f>(AE407/12*2*$E407*$G407*$H407*$M407*$AF$11)+(AE407/12*10*$F407*$G407*$H407*$M407*$AF$11)</f>
        <v>604229.27950000006</v>
      </c>
      <c r="AG407" s="123">
        <v>5</v>
      </c>
      <c r="AH407" s="126">
        <f>(AG407/12*2*$E407*$G407*$H407*$M407*$AH$11)+(AG407/12*10*$F407*$G407*$H407*$M407*$AH$11)</f>
        <v>604229.27950000006</v>
      </c>
      <c r="AI407" s="130"/>
      <c r="AJ407" s="123">
        <f t="shared" si="533"/>
        <v>0</v>
      </c>
      <c r="AK407" s="123">
        <v>1</v>
      </c>
      <c r="AL407" s="123">
        <f t="shared" si="534"/>
        <v>170274.00333999997</v>
      </c>
      <c r="AM407" s="132">
        <v>4</v>
      </c>
      <c r="AN407" s="123">
        <f>(AM407/12*2*$E407*$G407*$H407*$N407*$AN$11)+(AM407/12*10*$F407*$G407*$H407*$N407*$AN$12)</f>
        <v>707251.33527999988</v>
      </c>
      <c r="AO407" s="130"/>
      <c r="AP407" s="127">
        <f>(AO407/12*2*$E407*$G407*$H407*$N407*$AP$11)+(AO407/12*10*$F407*$G407*$H407*$N407*$AP$11)</f>
        <v>0</v>
      </c>
      <c r="AQ407" s="127">
        <v>0</v>
      </c>
      <c r="AR407" s="127">
        <v>0</v>
      </c>
      <c r="AS407" s="123"/>
      <c r="AT407" s="123">
        <f>(AS407/12*2*$E407*$G407*$H407*$M407*$AT$11)+(AS407/12*10*$F407*$G407*$H407*$M407*$AT$11)</f>
        <v>0</v>
      </c>
      <c r="AU407" s="123"/>
      <c r="AV407" s="126">
        <f>(AU407/12*2*$E407*$G407*$H407*$M407*$AV$11)+(AU407/12*10*$F407*$G407*$H407*$M407*$AV$12)</f>
        <v>0</v>
      </c>
      <c r="AW407" s="123"/>
      <c r="AX407" s="123">
        <f>(AW407/12*2*$E407*$G407*$H407*$M407*$AX$11)+(AW407/12*10*$F407*$G407*$H407*$M407*$AX$12)</f>
        <v>0</v>
      </c>
      <c r="AY407" s="123">
        <v>1</v>
      </c>
      <c r="AZ407" s="123">
        <f>(AY407/12*2*$E407*$G407*$H407*$N407*$AZ$11)+(AY407/12*10*$F407*$G407*$H407*$N407*$AZ$11)</f>
        <v>145015.02708</v>
      </c>
      <c r="BA407" s="123"/>
      <c r="BB407" s="123">
        <f>(BA407/12*2*$E407*$G407*$H407*$N407*$BB$11)+(BA407/12*10*$F407*$G407*$H407*$N407*$BB$12)</f>
        <v>0</v>
      </c>
      <c r="BC407" s="123"/>
      <c r="BD407" s="126">
        <f>(BC407/12*2*$E407*$G407*$H407*$N407*$BD$11)+(BC407/12*10*$F407*$G407*$H407*$N407*$BD$12)</f>
        <v>0</v>
      </c>
      <c r="BE407" s="123"/>
      <c r="BF407" s="123">
        <f>(BE407/12*10*$F407*$G407*$H407*$N407*$BF$12)</f>
        <v>0</v>
      </c>
      <c r="BG407" s="123"/>
      <c r="BH407" s="123">
        <f>(BG407/12*2*$E407*$G407*$H407*$N407*$BH$11)+(BG407/12*10*$F407*$G407*$H407*$N407*$BH$11)</f>
        <v>0</v>
      </c>
      <c r="BI407" s="123"/>
      <c r="BJ407" s="126">
        <f>(BI407/12*2*$E407*$G407*$H407*$N407*$BJ$11)+(BI407/12*10*$F407*$G407*$H407*$N407*$BJ$11)</f>
        <v>0</v>
      </c>
      <c r="BK407" s="123"/>
      <c r="BL407" s="127">
        <f>(BK407/12*2*$E407*$G407*$H407*$N407*$BL$11)+(BK407/12*10*$F407*$G407*$H407*$N407*$BL$11)</f>
        <v>0</v>
      </c>
      <c r="BM407" s="123"/>
      <c r="BN407" s="123">
        <f>(BM407/12*2*$E407*$G407*$H407*$M407*$BN$11)+(BM407/12*10*$F407*$G407*$H407*$M407*$BN$11)</f>
        <v>0</v>
      </c>
      <c r="BO407" s="123"/>
      <c r="BP407" s="123">
        <f>(BO407/12*2*$E407*$G407*$H407*$M407*$BP$11)+(BO407/12*10*$F407*$G407*$H407*$M407*$BP$12)</f>
        <v>0</v>
      </c>
      <c r="BQ407" s="123"/>
      <c r="BR407" s="123">
        <f>(BQ407/12*2*$E407*$G407*$H407*$M407*$BR$11)+(BQ407/12*10*$F407*$G407*$H407*$M407*$BR$11)</f>
        <v>0</v>
      </c>
      <c r="BS407" s="123"/>
      <c r="BT407" s="123">
        <f>(BS407/12*2*$E407*$G407*$H407*$N407*$BT$11)+(BS407/12*10*$F407*$G407*$H407*$N407*$BT$11)</f>
        <v>0</v>
      </c>
      <c r="BU407" s="123"/>
      <c r="BV407" s="126">
        <f>(BU407/12*2*$E407*$G407*$H407*$M407*$BV$11)+(BU407/12*10*$F407*$G407*$H407*$M407*$BV$11)</f>
        <v>0</v>
      </c>
      <c r="BW407" s="123"/>
      <c r="BX407" s="123">
        <f>(BW407/12*2*$E407*$G407*$H407*$M407*$BX$11)+(BW407/12*10*$F407*$G407*$H407*$M407*$BX$11)</f>
        <v>0</v>
      </c>
      <c r="BY407" s="123"/>
      <c r="BZ407" s="123">
        <f>(BY407/12*2*$E407*$G407*$H407*$M407*$BZ$11)+(BY407/12*10*$F407*$G407*$H407*$M407*$BZ$11)</f>
        <v>0</v>
      </c>
      <c r="CA407" s="123"/>
      <c r="CB407" s="123">
        <f>(CA407/12*2*$E407*$G407*$H407*$M407*$CB$11)+(CA407/12*10*$F407*$G407*$H407*$M407*$CB$11)</f>
        <v>0</v>
      </c>
      <c r="CC407" s="123"/>
      <c r="CD407" s="123">
        <f>(CC407/12*2*$E407*$G407*$H407*$M407*$CD$11)+(CC407/12*10*$F407*$G407*$H407*$M407*$CD$11)</f>
        <v>0</v>
      </c>
      <c r="CE407" s="123"/>
      <c r="CF407" s="123">
        <f>(CE407/12*10*$F407*$G407*$H407*$N407*$CF$11)</f>
        <v>0</v>
      </c>
      <c r="CG407" s="132"/>
      <c r="CH407" s="123">
        <f>(CG407/12*2*$E407*$G407*$H407*$N407*$CH$11)+(CG407/12*10*$F407*$G407*$H407*$N407*$CH$11)</f>
        <v>0</v>
      </c>
      <c r="CI407" s="123"/>
      <c r="CJ407" s="127"/>
      <c r="CK407" s="123"/>
      <c r="CL407" s="123">
        <f>(CK407/12*2*$E407*$G407*$H407*$N407*$CL$11)+(CK407/12*10*$F407*$G407*$H407*$N407*$CL$12)</f>
        <v>0</v>
      </c>
      <c r="CM407" s="130"/>
      <c r="CN407" s="123">
        <f>(CM407/12*2*$E407*$G407*$H407*$N407*$CN$11)+(CM407/12*10*$F407*$G407*$H407*$N407*$CN$11)</f>
        <v>0</v>
      </c>
      <c r="CO407" s="123"/>
      <c r="CP407" s="123">
        <f>(CO407/12*2*$E407*$G407*$H407*$N407*$CP$11)+(CO407/12*10*$F407*$G407*$H407*$N407*$CP$11)</f>
        <v>0</v>
      </c>
      <c r="CQ407" s="123"/>
      <c r="CR407" s="123">
        <f>(CQ407/12*2*$E407*$G407*$H407*$O407*$CR$11)+(CQ407/12*10*$F407*$G407*$H407*$O407*$CR$11)</f>
        <v>0</v>
      </c>
      <c r="CS407" s="123"/>
      <c r="CT407" s="133">
        <f>(CS407/12*2*$E407*$G407*$H407*$P407*$CT$11)+(CS407/12*10*$F407*$G407*$H407*$P407*$CT$11)</f>
        <v>0</v>
      </c>
      <c r="CU407" s="127"/>
      <c r="CV407" s="123">
        <f>(CU407*$E407*$G407*$H407*$M407*CV$11)/12*6+(CU407*$E407*$G407*$H407*1*CV$11)/12*6</f>
        <v>0</v>
      </c>
      <c r="CW407" s="126">
        <f t="shared" si="535"/>
        <v>41</v>
      </c>
      <c r="CX407" s="126">
        <f t="shared" si="535"/>
        <v>5623119.7341666678</v>
      </c>
    </row>
    <row r="408" spans="1:102" ht="21.75" customHeight="1" x14ac:dyDescent="0.25">
      <c r="A408" s="91"/>
      <c r="B408" s="116">
        <v>334</v>
      </c>
      <c r="C408" s="117" t="s">
        <v>934</v>
      </c>
      <c r="D408" s="161" t="s">
        <v>935</v>
      </c>
      <c r="E408" s="95">
        <v>28004</v>
      </c>
      <c r="F408" s="96">
        <v>29405</v>
      </c>
      <c r="G408" s="119">
        <v>4.12</v>
      </c>
      <c r="H408" s="110">
        <v>0.9</v>
      </c>
      <c r="I408" s="110">
        <v>0.85</v>
      </c>
      <c r="J408" s="203"/>
      <c r="K408" s="203"/>
      <c r="L408" s="63"/>
      <c r="M408" s="120">
        <v>1.4</v>
      </c>
      <c r="N408" s="120">
        <v>1.68</v>
      </c>
      <c r="O408" s="120">
        <v>2.23</v>
      </c>
      <c r="P408" s="121">
        <v>2.57</v>
      </c>
      <c r="Q408" s="204">
        <v>10</v>
      </c>
      <c r="R408" s="123">
        <f>(Q408/12*2*$E408*$G408*$H408*$M408*$R$11)+(Q408/12*10*$F408*$G408*$I408*$M408*$R$11)</f>
        <v>1588048.9804666671</v>
      </c>
      <c r="S408" s="124">
        <v>3</v>
      </c>
      <c r="T408" s="125">
        <f>(S408/12*2*$E408*$G408*$H408*$M408*$R$11)+(S408/12*10*$F408*$G408*$I408*$M408*$R$11)</f>
        <v>476414.69413999998</v>
      </c>
      <c r="U408" s="123">
        <v>1</v>
      </c>
      <c r="V408" s="123">
        <f>(U408/12*2*$E408*$G408*$H408*$M408*$V$11)+(U408/12*10*$F408*$G408*$I408*$M408*$V$12)</f>
        <v>193705.5928033333</v>
      </c>
      <c r="W408" s="123"/>
      <c r="X408" s="126">
        <f>(W408/12*2*$E408*$G408*$H408*$M408*$X$11)+(W408/12*10*$F408*$G408*$I408*$M408*$X$12)</f>
        <v>0</v>
      </c>
      <c r="Y408" s="123"/>
      <c r="Z408" s="123">
        <f>(Y408/12*2*$E408*$G408*$H408*$M408*$Z$11)+(Y408/12*10*$F408*$G408*$I408*$M408*$Z$12)</f>
        <v>0</v>
      </c>
      <c r="AA408" s="123"/>
      <c r="AB408" s="123">
        <f>(AA408/12*2*$E408*$G408*$H408*$M408*$AB$11)+(AA408/12*10*$F408*$G408*$I408*$M408*$AB$11)</f>
        <v>0</v>
      </c>
      <c r="AC408" s="123"/>
      <c r="AD408" s="123"/>
      <c r="AE408" s="123">
        <v>1</v>
      </c>
      <c r="AF408" s="127">
        <f>(AE408/12*2*$E408*$G408*$H408*$M408*$AF$11)+(AE408/12*10*$F408*$G408*$I408*$M408*$AF$11)</f>
        <v>158804.89804666667</v>
      </c>
      <c r="AG408" s="123">
        <f>6-1</f>
        <v>5</v>
      </c>
      <c r="AH408" s="126">
        <f>(AG408/12*2*$E408*$G408*$H408*$M408*$AH$11)+(AG408/12*10*$F408*$G408*$I408*$M408*$AH$11)</f>
        <v>794024.49023333355</v>
      </c>
      <c r="AI408" s="130">
        <v>5</v>
      </c>
      <c r="AJ408" s="123">
        <f>(AI408/12*2*$E408*$G408*$H408*$M408*$AJ$11)+(AI408/12*5*$F408*$G408*$I408*$M408*$AJ$12)+(AI408/12*5*$F408*$G408*$I408*$M408*$AJ$13)</f>
        <v>932385.62795000023</v>
      </c>
      <c r="AK408" s="123">
        <v>6</v>
      </c>
      <c r="AL408" s="123">
        <f>(AK408/12*2*$E408*$G408*$H408*$N408*$AL$11)+(AK408/12*5*$F408*$G408*$I408*$N408*$AL$12)+(AK408/12*5*$F408*$G408*$I408*$N408*$AL$13)</f>
        <v>1342635.304248</v>
      </c>
      <c r="AM408" s="129"/>
      <c r="AN408" s="123">
        <f>(AM408/12*2*$E408*$G408*$H408*$N408*$AN$11)+(AM408/12*10*$F408*$G408*$I408*$N408*$AN$12)</f>
        <v>0</v>
      </c>
      <c r="AO408" s="130"/>
      <c r="AP408" s="127">
        <f>(AO408/12*2*$E408*$G408*$H408*$N408*$AP$11)+(AO408/12*10*$F408*$G408*$I408*$N408*$AP$11)</f>
        <v>0</v>
      </c>
      <c r="AQ408" s="127">
        <v>0</v>
      </c>
      <c r="AR408" s="127">
        <v>0</v>
      </c>
      <c r="AS408" s="123"/>
      <c r="AT408" s="123"/>
      <c r="AU408" s="123"/>
      <c r="AV408" s="126"/>
      <c r="AW408" s="123"/>
      <c r="AX408" s="123">
        <f>(AW408/12*2*$E408*$G408*$H408*$M408*$AX$11)+(AW408/12*10*$F408*$G408*$I408*$M408*$AX$12)</f>
        <v>0</v>
      </c>
      <c r="AY408" s="123">
        <v>3</v>
      </c>
      <c r="AZ408" s="123">
        <f>(AY408/12*2*$E408*$G408*$H408*$N408*$AZ$11)+(AY408/12*10*$F408*$G408*$I408*$N408*$AZ$11)</f>
        <v>571697.63296800002</v>
      </c>
      <c r="BA408" s="123"/>
      <c r="BB408" s="123">
        <f>(BA408/12*2*$E408*$G408*$H408*$N408*$BB$11)+(BA408/12*10*$F408*$G408*$I408*$N408*$BB$12)</f>
        <v>0</v>
      </c>
      <c r="BC408" s="123"/>
      <c r="BD408" s="126"/>
      <c r="BE408" s="123"/>
      <c r="BF408" s="123">
        <f>(BE408/12*10*$F408*$G408*$I408*$N408*$BF$12)</f>
        <v>0</v>
      </c>
      <c r="BG408" s="123"/>
      <c r="BH408" s="123">
        <f>(BG408/12*2*$E408*$G408*$H408*$N408*$BH$11)+(BG408/12*10*$F408*$G408*$I408*$N408*$BH$11)</f>
        <v>0</v>
      </c>
      <c r="BI408" s="123"/>
      <c r="BJ408" s="126">
        <f>(BI408/12*2*$E408*$G408*$H408*$N408*$BJ$11)+(BI408/12*10*$F408*$G408*$I408*$N408*$BJ$11)</f>
        <v>0</v>
      </c>
      <c r="BK408" s="123"/>
      <c r="BL408" s="127">
        <f>(BK408/12*2*$E408*$G408*$H408*$N408*$BL$11)+(BK408/12*10*$F408*$G408*$I408*$N408*$BL$11)</f>
        <v>0</v>
      </c>
      <c r="BM408" s="123"/>
      <c r="BN408" s="123">
        <f>(BM408/12*2*$E408*$G408*$H408*$M408*$BN$11)+(BM408/12*10*$F408*$G408*$I408*$M408*$BN$11)</f>
        <v>0</v>
      </c>
      <c r="BO408" s="123"/>
      <c r="BP408" s="123">
        <f>(BO408/12*2*$E408*$G408*$H408*$M408*$BP$11)+(BO408/12*10*$F408*$G408*$I408*$M408*$BP$12)</f>
        <v>0</v>
      </c>
      <c r="BQ408" s="123"/>
      <c r="BR408" s="123">
        <f>(BQ408/12*2*$E408*$G408*$H408*$M408*$BR$11)+(BQ408/12*10*$F408*$G408*$I408*$M408*$BR$11)</f>
        <v>0</v>
      </c>
      <c r="BS408" s="123">
        <v>3</v>
      </c>
      <c r="BT408" s="123">
        <f>(BS408/12*2*$E408*$G408*$H408*$N408*$BT$11)+(BS408/12*10*$F408*$G408*$I408*$N408*$BT$11)</f>
        <v>519725.12087999994</v>
      </c>
      <c r="BU408" s="123"/>
      <c r="BV408" s="126">
        <f>(BU408/12*2*$E408*$G408*$H408*$M408*$BV$11)+(BU408/12*10*$F408*$G408*$I408*$M408*$BV$11)</f>
        <v>0</v>
      </c>
      <c r="BW408" s="123"/>
      <c r="BX408" s="123">
        <f>(BW408/12*2*$E408*$G408*$H408*$M408*$BX$11)+(BW408/12*10*$F408*$G408*$I408*$M408*$BX$11)</f>
        <v>0</v>
      </c>
      <c r="BY408" s="123"/>
      <c r="BZ408" s="123">
        <f>(BY408/12*2*$E408*$G408*$H408*$M408*$BZ$11)+(BY408/12*10*$F408*$G408*$I408*$M408*$BZ$11)</f>
        <v>0</v>
      </c>
      <c r="CA408" s="123"/>
      <c r="CB408" s="123">
        <f>(CA408/12*2*$E408*$G408*$H408*$M408*$CB$11)+(CA408/12*10*$F408*$G408*$I408*$M408*$CB$11)</f>
        <v>0</v>
      </c>
      <c r="CC408" s="123"/>
      <c r="CD408" s="123">
        <f>(CC408/12*2*$E408*$G408*$H408*$M408*$CD$11)+(CC408/12*10*$F408*$G408*$I408*$M408*$CD$11)</f>
        <v>0</v>
      </c>
      <c r="CE408" s="123">
        <v>2</v>
      </c>
      <c r="CF408" s="123">
        <f>(CE408/12*10*$F408*$G408*$I408*$N408*$CF$11)</f>
        <v>288333.66799999995</v>
      </c>
      <c r="CG408" s="132"/>
      <c r="CH408" s="123">
        <f>(CG408/12*2*$E408*$G408*$H408*$N408*$CH$11)+(CG408/12*10*$F408*$G408*$I408*$N408*$CH$11)</f>
        <v>0</v>
      </c>
      <c r="CI408" s="123"/>
      <c r="CJ408" s="127"/>
      <c r="CK408" s="123"/>
      <c r="CL408" s="123">
        <f>(CK408/12*2*$E408*$G408*$H408*$N408*$CL$11)+(CK408/12*10*$F408*$G408*$I408*$N408*$CL$12)</f>
        <v>0</v>
      </c>
      <c r="CM408" s="130"/>
      <c r="CN408" s="123">
        <f>(CM408/12*2*$E408*$G408*$H408*$N408*$CN$11)+(CM408/12*10*$F408*$G408*$I408*$N408*$CN$11)</f>
        <v>0</v>
      </c>
      <c r="CO408" s="123"/>
      <c r="CP408" s="123">
        <f>(CO408/12*2*$E408*$G408*$H408*$N408*$CP$11)+(CO408/12*10*$F408*$G408*$I408*$N408*$CP$11)</f>
        <v>0</v>
      </c>
      <c r="CQ408" s="123"/>
      <c r="CR408" s="123">
        <f>(CQ408/12*2*$E408*$G408*$H408*$O408*$CR$11)+(CQ408/12*10*$F408*$G408*$I408*$O408*$CR$11)</f>
        <v>0</v>
      </c>
      <c r="CS408" s="123">
        <v>1</v>
      </c>
      <c r="CT408" s="133">
        <f>(CS408/12*2*$E408*$G408*$H408*$P408*$CT$11)+(CS408/12*10*$F408*$G408*$I408*$P408*$CT$11)</f>
        <v>265018.56362333329</v>
      </c>
      <c r="CU408" s="127"/>
      <c r="CV408" s="123"/>
      <c r="CW408" s="126">
        <f t="shared" si="535"/>
        <v>40</v>
      </c>
      <c r="CX408" s="126">
        <f t="shared" si="535"/>
        <v>7130794.573359333</v>
      </c>
    </row>
    <row r="409" spans="1:102" ht="30" customHeight="1" x14ac:dyDescent="0.25">
      <c r="A409" s="91"/>
      <c r="B409" s="116">
        <v>335</v>
      </c>
      <c r="C409" s="117" t="s">
        <v>936</v>
      </c>
      <c r="D409" s="161" t="s">
        <v>937</v>
      </c>
      <c r="E409" s="95">
        <v>28004</v>
      </c>
      <c r="F409" s="96">
        <v>29405</v>
      </c>
      <c r="G409" s="119">
        <v>1.1599999999999999</v>
      </c>
      <c r="H409" s="107">
        <v>1</v>
      </c>
      <c r="I409" s="108"/>
      <c r="J409" s="108"/>
      <c r="K409" s="108"/>
      <c r="L409" s="63"/>
      <c r="M409" s="120">
        <v>1.4</v>
      </c>
      <c r="N409" s="120">
        <v>1.68</v>
      </c>
      <c r="O409" s="120">
        <v>2.23</v>
      </c>
      <c r="P409" s="121">
        <v>2.57</v>
      </c>
      <c r="Q409" s="204">
        <v>2</v>
      </c>
      <c r="R409" s="123">
        <f>(Q409/12*2*$E409*$G409*$H409*$M409*$R$11)+(Q409/12*10*$F409*$G409*$H409*$M409*$R$11)</f>
        <v>104223.93519999998</v>
      </c>
      <c r="S409" s="124">
        <v>0</v>
      </c>
      <c r="T409" s="125">
        <f>(S409/12*2*$E409*$G409*$H409*$M409*$R$11)+(S409/12*10*$F409*$G409*$H409*$M409*$R$11)</f>
        <v>0</v>
      </c>
      <c r="U409" s="123">
        <f>81-39</f>
        <v>42</v>
      </c>
      <c r="V409" s="123">
        <f>(U409/12*2*$E409*$G409*$H409*$M409*$V$11)+(U409/12*10*$F409*$G409*$H409*$M409*$V$12)</f>
        <v>2668624.9268</v>
      </c>
      <c r="W409" s="123"/>
      <c r="X409" s="126">
        <f>(W409/12*2*$E409*$G409*$H409*$M409*$X$11)+(W409/12*10*$F409*$G409*$H409*$M409*$X$12)</f>
        <v>0</v>
      </c>
      <c r="Y409" s="123"/>
      <c r="Z409" s="123">
        <f>(Y409/12*2*$E409*$G409*$H409*$M409*$Z$11)+(Y409/12*10*$F409*$G409*$H409*$M409*$Z$12)</f>
        <v>0</v>
      </c>
      <c r="AA409" s="123"/>
      <c r="AB409" s="123">
        <f>(AA409/12*2*$E409*$G409*$H409*$M409*$AB$11)+(AA409/12*10*$F409*$G409*$H409*$M409*$AB$11)</f>
        <v>0</v>
      </c>
      <c r="AC409" s="123"/>
      <c r="AD409" s="123"/>
      <c r="AE409" s="123"/>
      <c r="AF409" s="127">
        <f>(AE409/12*2*$E409*$G409*$H409*$M409*$AF$11)+(AE409/12*10*$F409*$G409*$H409*$M409*$AF$11)</f>
        <v>0</v>
      </c>
      <c r="AG409" s="123">
        <f>10+1</f>
        <v>11</v>
      </c>
      <c r="AH409" s="126">
        <f>(AG409/12*2*$E409*$G409*$H409*$M409*$AH$11)+(AG409/12*10*$F409*$G409*$H409*$M409*$AH$11)</f>
        <v>573231.64359999984</v>
      </c>
      <c r="AI409" s="130"/>
      <c r="AJ409" s="123">
        <f t="shared" ref="AJ409:AJ410" si="536">(AI409/12*2*$E409*$G409*$H409*$M409*$AJ$11)+(AI409/12*5*$F409*$G409*$H409*$M409*$AJ$12)+(AI409/12*5*$F409*$G409*$H409*$M409*$AJ$13)</f>
        <v>0</v>
      </c>
      <c r="AK409" s="123">
        <f>4+19</f>
        <v>23</v>
      </c>
      <c r="AL409" s="123">
        <f t="shared" ref="AL409:AL410" si="537">(AK409/12*2*$E409*$G409*$H409*$N409*$AL$11)+(AK409/12*5*$F409*$G409*$H409*$N409*$AL$12)++(AK409/12*5*$F409*$G409*$H409*$N409*$AL$13)</f>
        <v>1688814.2784799999</v>
      </c>
      <c r="AM409" s="132"/>
      <c r="AN409" s="123">
        <f>(AM409/12*2*$E409*$G409*$H409*$N409*$AN$11)+(AM409/12*10*$F409*$G409*$H409*$N409*$AN$12)</f>
        <v>0</v>
      </c>
      <c r="AO409" s="130"/>
      <c r="AP409" s="127">
        <f>(AO409/12*2*$E409*$G409*$H409*$N409*$AP$11)+(AO409/12*10*$F409*$G409*$H409*$N409*$AP$11)</f>
        <v>0</v>
      </c>
      <c r="AQ409" s="127">
        <v>0</v>
      </c>
      <c r="AR409" s="127">
        <v>0</v>
      </c>
      <c r="AS409" s="123"/>
      <c r="AT409" s="123">
        <f>(AS409/12*2*$E409*$G409*$H409*$M409*$AT$11)+(AS409/12*10*$F409*$G409*$H409*$M409*$AT$11)</f>
        <v>0</v>
      </c>
      <c r="AU409" s="123"/>
      <c r="AV409" s="126">
        <f>(AU409/12*2*$E409*$G409*$H409*$M409*$AV$11)+(AU409/12*10*$F409*$G409*$H409*$M409*$AV$12)</f>
        <v>0</v>
      </c>
      <c r="AW409" s="123">
        <v>5</v>
      </c>
      <c r="AX409" s="123">
        <f>(AW409/12*2*$E409*$G409*$H409*$M409*$AX$11)+(AW409/12*10*$F409*$G409*$H409*$M409*$AX$12)</f>
        <v>272308.66599999997</v>
      </c>
      <c r="AY409" s="123">
        <v>0</v>
      </c>
      <c r="AZ409" s="123">
        <f>(AY409/12*2*$E409*$G409*$H409*$N409*$AZ$11)+(AY409/12*10*$F409*$G409*$H409*$N409*$AZ$11)</f>
        <v>0</v>
      </c>
      <c r="BA409" s="123"/>
      <c r="BB409" s="123">
        <f>(BA409/12*2*$E409*$G409*$H409*$N409*$BB$11)+(BA409/12*10*$F409*$G409*$H409*$N409*$BB$12)</f>
        <v>0</v>
      </c>
      <c r="BC409" s="123"/>
      <c r="BD409" s="126">
        <f>(BC409/12*2*$E409*$G409*$H409*$N409*$BD$11)+(BC409/12*10*$F409*$G409*$H409*$N409*$BD$12)</f>
        <v>0</v>
      </c>
      <c r="BE409" s="123">
        <v>3</v>
      </c>
      <c r="BF409" s="123">
        <f>(BE409/12*10*$F409*$G409*$H409*$N409*$BF$12)</f>
        <v>143261.16</v>
      </c>
      <c r="BG409" s="123"/>
      <c r="BH409" s="123">
        <f>(BG409/12*2*$E409*$G409*$H409*$N409*$BH$11)+(BG409/12*10*$F409*$G409*$H409*$N409*$BH$11)</f>
        <v>0</v>
      </c>
      <c r="BI409" s="123"/>
      <c r="BJ409" s="126">
        <f>(BI409/12*2*$E409*$G409*$H409*$N409*$BJ$11)+(BI409/12*10*$F409*$G409*$H409*$N409*$BJ$11)</f>
        <v>0</v>
      </c>
      <c r="BK409" s="123"/>
      <c r="BL409" s="127">
        <f>(BK409/12*2*$E409*$G409*$H409*$N409*$BL$11)+(BK409/12*10*$F409*$G409*$H409*$N409*$BL$11)</f>
        <v>0</v>
      </c>
      <c r="BM409" s="123"/>
      <c r="BN409" s="123">
        <f>(BM409/12*2*$E409*$G409*$H409*$M409*$BN$11)+(BM409/12*10*$F409*$G409*$H409*$M409*$BN$11)</f>
        <v>0</v>
      </c>
      <c r="BO409" s="123"/>
      <c r="BP409" s="123">
        <f>(BO409/12*2*$E409*$G409*$H409*$M409*$BP$11)+(BO409/12*10*$F409*$G409*$H409*$M409*$BP$12)</f>
        <v>0</v>
      </c>
      <c r="BQ409" s="123"/>
      <c r="BR409" s="123">
        <f>(BQ409/12*2*$E409*$G409*$H409*$M409*$BR$11)+(BQ409/12*10*$F409*$G409*$H409*$M409*$BR$11)</f>
        <v>0</v>
      </c>
      <c r="BS409" s="123"/>
      <c r="BT409" s="123">
        <f>(BS409/12*2*$E409*$G409*$H409*$N409*$BT$11)+(BS409/12*10*$F409*$G409*$H409*$N409*$BT$11)</f>
        <v>0</v>
      </c>
      <c r="BU409" s="123"/>
      <c r="BV409" s="126">
        <f>(BU409/12*2*$E409*$G409*$H409*$M409*$BV$11)+(BU409/12*10*$F409*$G409*$H409*$M409*$BV$11)</f>
        <v>0</v>
      </c>
      <c r="BW409" s="123"/>
      <c r="BX409" s="123">
        <f>(BW409/12*2*$E409*$G409*$H409*$M409*$BX$11)+(BW409/12*10*$F409*$G409*$H409*$M409*$BX$11)</f>
        <v>0</v>
      </c>
      <c r="BY409" s="123"/>
      <c r="BZ409" s="123">
        <f>(BY409/12*2*$E409*$G409*$H409*$M409*$BZ$11)+(BY409/12*10*$F409*$G409*$H409*$M409*$BZ$11)</f>
        <v>0</v>
      </c>
      <c r="CA409" s="123"/>
      <c r="CB409" s="123">
        <f>(CA409/12*2*$E409*$G409*$H409*$M409*$CB$11)+(CA409/12*10*$F409*$G409*$H409*$M409*$CB$11)</f>
        <v>0</v>
      </c>
      <c r="CC409" s="123"/>
      <c r="CD409" s="123">
        <f>(CC409/12*2*$E409*$G409*$H409*$M409*$CD$11)+(CC409/12*10*$F409*$G409*$H409*$M409*$CD$11)</f>
        <v>0</v>
      </c>
      <c r="CE409" s="123">
        <v>5</v>
      </c>
      <c r="CF409" s="123">
        <f>(CE409/12*10*$F409*$G409*$H409*$N409*$CF$11)</f>
        <v>238768.59999999998</v>
      </c>
      <c r="CG409" s="132"/>
      <c r="CH409" s="123">
        <f>(CG409/12*2*$E409*$G409*$H409*$N409*$CH$11)+(CG409/12*10*$F409*$G409*$H409*$N409*$CH$11)</f>
        <v>0</v>
      </c>
      <c r="CI409" s="123"/>
      <c r="CJ409" s="127"/>
      <c r="CK409" s="123"/>
      <c r="CL409" s="123">
        <f>(CK409/12*2*$E409*$G409*$H409*$N409*$CL$11)+(CK409/12*10*$F409*$G409*$H409*$N409*$CL$12)</f>
        <v>0</v>
      </c>
      <c r="CM409" s="130"/>
      <c r="CN409" s="123">
        <f>(CM409/12*2*$E409*$G409*$H409*$N409*$CN$11)+(CM409/12*10*$F409*$G409*$H409*$N409*$CN$11)</f>
        <v>0</v>
      </c>
      <c r="CO409" s="123"/>
      <c r="CP409" s="123">
        <f>(CO409/12*2*$E409*$G409*$H409*$N409*$CP$11)+(CO409/12*10*$F409*$G409*$H409*$N409*$CP$11)</f>
        <v>0</v>
      </c>
      <c r="CQ409" s="123"/>
      <c r="CR409" s="123">
        <f>(CQ409/12*2*$E409*$G409*$H409*$O409*$CR$11)+(CQ409/12*10*$F409*$G409*$H409*$O409*$CR$11)</f>
        <v>0</v>
      </c>
      <c r="CS409" s="123"/>
      <c r="CT409" s="133">
        <f>(CS409/12*2*$E409*$G409*$H409*$P409*$CT$11)+(CS409/12*10*$F409*$G409*$H409*$P409*$CT$11)</f>
        <v>0</v>
      </c>
      <c r="CU409" s="127"/>
      <c r="CV409" s="123">
        <f>(CU409*$E409*$G409*$H409*$M409*CV$11)/12*6+(CU409*$E409*$G409*$H409*1*CV$11)/12*6</f>
        <v>0</v>
      </c>
      <c r="CW409" s="126">
        <f t="shared" si="535"/>
        <v>91</v>
      </c>
      <c r="CX409" s="126">
        <f t="shared" si="535"/>
        <v>5689233.2100799996</v>
      </c>
    </row>
    <row r="410" spans="1:102" ht="30" customHeight="1" x14ac:dyDescent="0.25">
      <c r="A410" s="91"/>
      <c r="B410" s="116">
        <v>336</v>
      </c>
      <c r="C410" s="117" t="s">
        <v>938</v>
      </c>
      <c r="D410" s="161" t="s">
        <v>939</v>
      </c>
      <c r="E410" s="95">
        <v>28004</v>
      </c>
      <c r="F410" s="96">
        <v>29405</v>
      </c>
      <c r="G410" s="119">
        <v>1.95</v>
      </c>
      <c r="H410" s="107">
        <v>1</v>
      </c>
      <c r="I410" s="108"/>
      <c r="J410" s="108"/>
      <c r="K410" s="108"/>
      <c r="L410" s="63"/>
      <c r="M410" s="120">
        <v>1.4</v>
      </c>
      <c r="N410" s="120">
        <v>1.68</v>
      </c>
      <c r="O410" s="120">
        <v>2.23</v>
      </c>
      <c r="P410" s="121">
        <v>2.57</v>
      </c>
      <c r="Q410" s="204">
        <v>120</v>
      </c>
      <c r="R410" s="123">
        <f>(Q410/12*2*$E410*$G410*$H410*$M410*$R$11)+(Q410/12*10*$F410*$G410*$H410*$M410*$R$11)</f>
        <v>10512241.74</v>
      </c>
      <c r="S410" s="124">
        <v>17</v>
      </c>
      <c r="T410" s="125">
        <f>(S410/12*2*$E410*$G410*$H410*$M410*$R$11)+(S410/12*10*$F410*$G410*$H410*$M410*$R$11)</f>
        <v>1489234.2465000001</v>
      </c>
      <c r="U410" s="123">
        <v>75</v>
      </c>
      <c r="V410" s="123">
        <f>(U410/12*2*$E410*$G410*$H410*$M410*$V$11)+(U410/12*10*$F410*$G410*$H410*$M410*$V$12)</f>
        <v>8010804.5062499996</v>
      </c>
      <c r="W410" s="123"/>
      <c r="X410" s="126">
        <f>(W410/12*2*$E410*$G410*$H410*$M410*$X$11)+(W410/12*10*$F410*$G410*$H410*$M410*$X$12)</f>
        <v>0</v>
      </c>
      <c r="Y410" s="123">
        <v>12</v>
      </c>
      <c r="Z410" s="123">
        <f>(Y410*$F410*$G410*$H410*$M410*$Z$12)</f>
        <v>1281199.3740000001</v>
      </c>
      <c r="AA410" s="123"/>
      <c r="AB410" s="123">
        <f>(AA410/12*2*$E410*$G410*$H410*$M410*$AB$11)+(AA410/12*10*$F410*$G410*$H410*$M410*$AB$11)</f>
        <v>0</v>
      </c>
      <c r="AC410" s="123"/>
      <c r="AD410" s="123"/>
      <c r="AE410" s="123">
        <v>15</v>
      </c>
      <c r="AF410" s="127">
        <f>(AE410/12*2*$E410*$G410*$H410*$M410*$AF$11)+(AE410/12*10*$F410*$G410*$H410*$M410*$AF$11)</f>
        <v>1314030.2175</v>
      </c>
      <c r="AG410" s="123">
        <f>34+3+6</f>
        <v>43</v>
      </c>
      <c r="AH410" s="126">
        <f>(AG410/12*2*$E410*$G410*$H410*$M410*$AH$11)+(AG410/12*10*$F410*$G410*$H410*$M410*$AH$11)</f>
        <v>3766886.6235000002</v>
      </c>
      <c r="AI410" s="130">
        <v>79</v>
      </c>
      <c r="AJ410" s="123">
        <f t="shared" si="536"/>
        <v>8125994.4902499989</v>
      </c>
      <c r="AK410" s="123">
        <v>40</v>
      </c>
      <c r="AL410" s="123">
        <f t="shared" si="537"/>
        <v>4937313.108</v>
      </c>
      <c r="AM410" s="132">
        <v>2</v>
      </c>
      <c r="AN410" s="123">
        <f>(AM410*$F410*$G410*$H410*$N410*$AN$12)</f>
        <v>256239.87480000002</v>
      </c>
      <c r="AO410" s="130">
        <v>1</v>
      </c>
      <c r="AP410" s="127">
        <f>(AO410/12*2*$E410*$G410*$H410*$N410*$AP$11)+(AO410/12*10*$F410*$G410*$H410*$N410*$AP$11)</f>
        <v>105122.41739999998</v>
      </c>
      <c r="AQ410" s="127">
        <v>0</v>
      </c>
      <c r="AR410" s="127">
        <v>0</v>
      </c>
      <c r="AS410" s="123"/>
      <c r="AT410" s="123">
        <f>(AS410/12*2*$E410*$G410*$H410*$M410*$AT$11)+(AS410/12*10*$F410*$G410*$H410*$M410*$AT$11)</f>
        <v>0</v>
      </c>
      <c r="AU410" s="123"/>
      <c r="AV410" s="126">
        <f>(AU410/12*2*$E410*$G410*$H410*$M410*$AV$11)+(AU410/12*10*$F410*$G410*$H410*$M410*$AV$12)</f>
        <v>0</v>
      </c>
      <c r="AW410" s="123">
        <v>11</v>
      </c>
      <c r="AX410" s="123">
        <f>(AW410/12*2*$E410*$G410*$H410*$M410*$AX$11)+(AW410/12*10*$F410*$G410*$H410*$M410*$AX$12)</f>
        <v>1007072.5665</v>
      </c>
      <c r="AY410" s="123">
        <v>28</v>
      </c>
      <c r="AZ410" s="123">
        <f>(AY410/12*2*$E410*$G410*$H410*$N410*$AZ$11)+(AY410/12*10*$F410*$G410*$H410*$N410*$AZ$11)</f>
        <v>2943427.6872000005</v>
      </c>
      <c r="BA410" s="123"/>
      <c r="BB410" s="123">
        <f>(BA410/12*2*$E410*$G410*$H410*$N410*$BB$11)+(BA410/12*10*$F410*$G410*$H410*$N410*$BB$12)</f>
        <v>0</v>
      </c>
      <c r="BC410" s="123"/>
      <c r="BD410" s="126">
        <f>(BC410/12*2*$E410*$G410*$H410*$N410*$BD$11)+(BC410/12*10*$F410*$G410*$H410*$N410*$BD$12)</f>
        <v>0</v>
      </c>
      <c r="BE410" s="123">
        <v>8</v>
      </c>
      <c r="BF410" s="123">
        <f>(BE410/12*10*$F410*$G410*$H410*$N410*$BF$12)</f>
        <v>642205.19999999984</v>
      </c>
      <c r="BG410" s="123"/>
      <c r="BH410" s="123">
        <f>(BG410/12*2*$E410*$G410*$H410*$N410*$BH$11)+(BG410/12*10*$F410*$G410*$H410*$N410*$BH$11)</f>
        <v>0</v>
      </c>
      <c r="BI410" s="123">
        <v>4</v>
      </c>
      <c r="BJ410" s="126">
        <f>(BI410/12*2*$E410*$G410*$H410*$N410*$BJ$11)+(BI410/12*10*$F410*$G410*$H410*$N410*$BJ$11)</f>
        <v>458716.00319999986</v>
      </c>
      <c r="BK410" s="123">
        <v>15</v>
      </c>
      <c r="BL410" s="127">
        <f>(BK410/12*2*$E410*$G410*$H410*$N410*$BL$11)+(BK410/12*10*$F410*$G410*$H410*$N410*$BL$11)</f>
        <v>1720185.0119999999</v>
      </c>
      <c r="BM410" s="123"/>
      <c r="BN410" s="123">
        <f>(BM410/12*2*$E410*$G410*$H410*$M410*$BN$11)+(BM410/12*10*$F410*$G410*$H410*$M410*$BN$11)</f>
        <v>0</v>
      </c>
      <c r="BO410" s="123"/>
      <c r="BP410" s="123">
        <f>(BO410/12*2*$E410*$G410*$H410*$M410*$BP$11)+(BO410/12*10*$F410*$G410*$H410*$M410*$BP$12)</f>
        <v>0</v>
      </c>
      <c r="BQ410" s="123">
        <v>6</v>
      </c>
      <c r="BR410" s="123">
        <f>(BQ410/12*2*$E410*$G410*$H410*$M410*$BR$11)+(BQ410/12*10*$F410*$G410*$H410*$M410*$BR$11)</f>
        <v>477829.17</v>
      </c>
      <c r="BS410" s="123">
        <v>1</v>
      </c>
      <c r="BT410" s="123">
        <f>(BS410/12*2*$E410*$G410*$H410*$N410*$BT$11)+(BS410/12*10*$F410*$G410*$H410*$N410*$BT$11)</f>
        <v>95565.833999999973</v>
      </c>
      <c r="BU410" s="123"/>
      <c r="BV410" s="126">
        <f>(BU410/12*2*$E410*$G410*$H410*$M410*$BV$11)+(BU410/12*10*$F410*$G410*$H410*$M410*$BV$11)</f>
        <v>0</v>
      </c>
      <c r="BW410" s="123"/>
      <c r="BX410" s="123">
        <f>(BW410/12*2*$E410*$G410*$H410*$M410*$BX$11)+(BW410/12*10*$F410*$G410*$H410*$M410*$BX$11)</f>
        <v>0</v>
      </c>
      <c r="BY410" s="123"/>
      <c r="BZ410" s="123">
        <f>(BY410/12*2*$E410*$G410*$H410*$M410*$BZ$11)+(BY410/12*10*$F410*$G410*$H410*$M410*$BZ$11)</f>
        <v>0</v>
      </c>
      <c r="CA410" s="123">
        <v>3</v>
      </c>
      <c r="CB410" s="123">
        <f>(CA410/12*2*$E410*$G410*$H410*$M410*$CB$11)+(CA410/12*10*$F410*$G410*$H410*$M410*$CB$11)</f>
        <v>286697.50199999998</v>
      </c>
      <c r="CC410" s="123">
        <v>6</v>
      </c>
      <c r="CD410" s="123">
        <f>(CC410/12*2*$E410*$G410*$H410*$M410*$CD$11)+(CC410/12*10*$F410*$G410*$H410*$M410*$CD$11)</f>
        <v>477829.17</v>
      </c>
      <c r="CE410" s="123">
        <v>3</v>
      </c>
      <c r="CF410" s="123">
        <f>(CE410/12*10*$F410*$G410*$H410*$N410*$CF$11)</f>
        <v>240826.94999999998</v>
      </c>
      <c r="CG410" s="132"/>
      <c r="CH410" s="123">
        <f>(CG410/12*2*$E410*$G410*$H410*$N410*$CH$11)+(CG410/12*10*$F410*$G410*$H410*$N410*$CH$11)</f>
        <v>0</v>
      </c>
      <c r="CI410" s="123"/>
      <c r="CJ410" s="127"/>
      <c r="CK410" s="123"/>
      <c r="CL410" s="123">
        <f>(CK410/12*2*$E410*$G410*$H410*$N410*$CL$11)+(CK410/12*10*$F410*$G410*$H410*$N410*$CL$12)</f>
        <v>0</v>
      </c>
      <c r="CM410" s="130"/>
      <c r="CN410" s="123">
        <f>(CM410/12*2*$E410*$G410*$H410*$N410*$CN$11)+(CM410/12*10*$F410*$G410*$H410*$N410*$CN$11)</f>
        <v>0</v>
      </c>
      <c r="CO410" s="123"/>
      <c r="CP410" s="123">
        <f>(CO410/12*2*$E410*$G410*$H410*$N410*$CP$11)+(CO410/12*10*$F410*$G410*$H410*$N410*$CP$11)</f>
        <v>0</v>
      </c>
      <c r="CQ410" s="123"/>
      <c r="CR410" s="123">
        <f>(CQ410/12*2*$E410*$G410*$H410*$O410*$CR$11)+(CQ410/12*10*$F410*$G410*$H410*$O410*$CR$11)</f>
        <v>0</v>
      </c>
      <c r="CS410" s="123"/>
      <c r="CT410" s="133">
        <f>(CS410/12*2*$E410*$G410*$H410*$P410*$CT$11)+(CS410/12*10*$F410*$G410*$H410*$P410*$CT$11)</f>
        <v>0</v>
      </c>
      <c r="CU410" s="127"/>
      <c r="CV410" s="123">
        <f>(CU410*$E410*$G410*$H410*$M410*CV$11)/12*6+(CU410*$E410*$G410*$H410*1*CV$11)/12*6</f>
        <v>0</v>
      </c>
      <c r="CW410" s="126">
        <f t="shared" si="535"/>
        <v>489</v>
      </c>
      <c r="CX410" s="126">
        <f t="shared" si="535"/>
        <v>48149421.69310002</v>
      </c>
    </row>
    <row r="411" spans="1:102" ht="30" x14ac:dyDescent="0.25">
      <c r="A411" s="91"/>
      <c r="B411" s="116">
        <v>337</v>
      </c>
      <c r="C411" s="117" t="s">
        <v>940</v>
      </c>
      <c r="D411" s="161" t="s">
        <v>941</v>
      </c>
      <c r="E411" s="95">
        <v>28004</v>
      </c>
      <c r="F411" s="96">
        <v>29405</v>
      </c>
      <c r="G411" s="119">
        <v>2.46</v>
      </c>
      <c r="H411" s="107">
        <v>1</v>
      </c>
      <c r="I411" s="108"/>
      <c r="J411" s="108"/>
      <c r="K411" s="108"/>
      <c r="L411" s="63"/>
      <c r="M411" s="120">
        <v>1.4</v>
      </c>
      <c r="N411" s="120">
        <v>1.68</v>
      </c>
      <c r="O411" s="120">
        <v>2.23</v>
      </c>
      <c r="P411" s="121">
        <v>2.57</v>
      </c>
      <c r="Q411" s="204">
        <v>10</v>
      </c>
      <c r="R411" s="123">
        <f>(Q411/12*2*$E411*$G411*$H411*$M411)+(Q411/12*10*$F411*$G411*$H411*$M411)</f>
        <v>1004666.46</v>
      </c>
      <c r="S411" s="124">
        <v>0</v>
      </c>
      <c r="T411" s="125">
        <f>(S411/12*2*$E411*$G411*$H411*$M411)+(S411/12*10*$F411*$G411*$H411*$M411)</f>
        <v>0</v>
      </c>
      <c r="U411" s="123"/>
      <c r="V411" s="123">
        <f>(U411/12*2*$E411*$G411*$H411*$M411)+(U411/12*10*$F411*$G411*$H411*$M411)</f>
        <v>0</v>
      </c>
      <c r="W411" s="123"/>
      <c r="X411" s="123">
        <f>(W411/12*2*$E411*$G411*$H411*$M411)+(W411/12*10*$F411*$G411*$H411*$M411)</f>
        <v>0</v>
      </c>
      <c r="Y411" s="123"/>
      <c r="Z411" s="123">
        <f>(Y411/12*2*$E411*$G411*$H411*$M411)+(Y411/12*10*$F411*$G411*$H411*$M411)</f>
        <v>0</v>
      </c>
      <c r="AA411" s="123"/>
      <c r="AB411" s="123">
        <f>(AA411/12*2*$E411*$G411*$H411*$M411)+(AA411/12*10*$F411*$G411*$H411*$M411)</f>
        <v>0</v>
      </c>
      <c r="AC411" s="123"/>
      <c r="AD411" s="123"/>
      <c r="AE411" s="123"/>
      <c r="AF411" s="123">
        <f>(AE411/12*2*$E411*$G411*$H411*$M411)+(AE411/12*10*$F411*$G411*$H411*$M411)</f>
        <v>0</v>
      </c>
      <c r="AG411" s="135">
        <v>1</v>
      </c>
      <c r="AH411" s="135">
        <f>(AG411/12*2*$E411*$G411*$H411*$M411)+(AG411/12*10*$F411*$G411*$H411*$M411)</f>
        <v>100466.64599999999</v>
      </c>
      <c r="AI411" s="123">
        <v>2</v>
      </c>
      <c r="AJ411" s="123">
        <f>(AI411/12*2*$E411*$G411*$H411*$M411)+(AI411/12*10*$F411*$G411*$H411*$M411)</f>
        <v>200933.29199999999</v>
      </c>
      <c r="AK411" s="123">
        <v>1</v>
      </c>
      <c r="AL411" s="126">
        <f>(AK411/12*2*$E411*$G411*$H411*$N411)+(AK411/12*10*$F411*$G411*$H411*$N411)</f>
        <v>120559.97519999997</v>
      </c>
      <c r="AM411" s="132">
        <v>0</v>
      </c>
      <c r="AN411" s="123">
        <f>(AM411/12*2*$E411*$G411*$H411*$N411)+(AM411/12*10*$F411*$G411*$H411*$N411)</f>
        <v>0</v>
      </c>
      <c r="AO411" s="130"/>
      <c r="AP411" s="123">
        <f>(AO411/12*2*$E411*$G411*$H411*$N411)+(AO411/12*10*$F411*$G411*$H411*$N411)</f>
        <v>0</v>
      </c>
      <c r="AQ411" s="123">
        <v>0</v>
      </c>
      <c r="AR411" s="123">
        <v>0</v>
      </c>
      <c r="AS411" s="123"/>
      <c r="AT411" s="123"/>
      <c r="AU411" s="123"/>
      <c r="AV411" s="123"/>
      <c r="AW411" s="123"/>
      <c r="AX411" s="123">
        <f>(AW411/12*2*$E411*$G411*$H411*$M411)+(AW411/12*10*$F411*$G411*$H411*$M411)</f>
        <v>0</v>
      </c>
      <c r="AY411" s="123">
        <v>0</v>
      </c>
      <c r="AZ411" s="123">
        <f>(AY411/12*2*$E411*$G411*$H411*$N411)+(AY411/12*10*$F411*$G411*$H411*$N411)</f>
        <v>0</v>
      </c>
      <c r="BA411" s="123"/>
      <c r="BB411" s="123">
        <f>(BA411/12*2*$E411*$G411*$H411*$N411)+(BA411/12*10*$F411*$G411*$H411*$N411)</f>
        <v>0</v>
      </c>
      <c r="BC411" s="123"/>
      <c r="BD411" s="123">
        <f>(BC411/12*2*$E411*$G411*$H411*$N411)+(BC411/12*10*$F411*$G411*$H411*$N411)</f>
        <v>0</v>
      </c>
      <c r="BE411" s="123"/>
      <c r="BF411" s="123">
        <f>(BE411/12*10*$F411*$G411*$H411*$N411)</f>
        <v>0</v>
      </c>
      <c r="BG411" s="123"/>
      <c r="BH411" s="123">
        <f>(BG411/12*2*$E411*$G411*$H411*$N411)+(BG411/12*10*$F411*$G411*$H411*$N411)</f>
        <v>0</v>
      </c>
      <c r="BI411" s="123"/>
      <c r="BJ411" s="123">
        <f>(BI411/12*2*$E411*$G411*$H411*$N411)+(BI411/12*10*$F411*$G411*$H411*$N411)</f>
        <v>0</v>
      </c>
      <c r="BK411" s="123">
        <v>2</v>
      </c>
      <c r="BL411" s="123">
        <f>(BK411/12*2*$E411*$G411*$H411*$N411)+(BK411/12*10*$F411*$G411*$H411*$N411)</f>
        <v>241119.95039999994</v>
      </c>
      <c r="BM411" s="123"/>
      <c r="BN411" s="123">
        <f>(BM411/12*2*$E411*$G411*$H411*$M411)+(BM411/12*10*$F411*$G411*$H411*$M411)</f>
        <v>0</v>
      </c>
      <c r="BO411" s="123"/>
      <c r="BP411" s="123">
        <f>(BO411/12*2*$E411*$G411*$H411*$M411)+(BO411/12*10*$F411*$G411*$H411*$M411)</f>
        <v>0</v>
      </c>
      <c r="BQ411" s="123"/>
      <c r="BR411" s="123">
        <f>(BQ411/12*2*$E411*$G411*$H411*$M411)+(BQ411/12*10*$F411*$G411*$H411*$M411)</f>
        <v>0</v>
      </c>
      <c r="BS411" s="123"/>
      <c r="BT411" s="123">
        <f>(BS411/12*2*$E411*$G411*$H411*$N411)+(BS411/12*10*$F411*$G411*$H411*$N411)</f>
        <v>0</v>
      </c>
      <c r="BU411" s="123"/>
      <c r="BV411" s="123">
        <f>(BU411/12*2*$E411*$G411*$H411*$M411)+(BU411/12*10*$F411*$G411*$H411*$M411)</f>
        <v>0</v>
      </c>
      <c r="BW411" s="123"/>
      <c r="BX411" s="123">
        <f>(BW411/12*2*$E411*$G411*$H411*$M411)+(BW411/12*10*$F411*$G411*$H411*$M411)</f>
        <v>0</v>
      </c>
      <c r="BY411" s="123"/>
      <c r="BZ411" s="123">
        <f>(BY411/12*2*$E411*$G411*$H411*$M411)+(BY411/12*10*$F411*$G411*$H411*$M411)</f>
        <v>0</v>
      </c>
      <c r="CA411" s="123"/>
      <c r="CB411" s="123">
        <f>(CA411/12*2*$E411*$G411*$H411*$M411)+(CA411/12*10*$F411*$G411*$H411*$M411)</f>
        <v>0</v>
      </c>
      <c r="CC411" s="123"/>
      <c r="CD411" s="123">
        <f>(CC411/12*2*$E411*$G411*$H411*$M411)+(CC411/12*10*$F411*$G411*$H411*$M411)</f>
        <v>0</v>
      </c>
      <c r="CE411" s="123"/>
      <c r="CF411" s="123">
        <f>(CE411/12*10*$F411*$G411*$H411*$N411)</f>
        <v>0</v>
      </c>
      <c r="CG411" s="132"/>
      <c r="CH411" s="123">
        <f>(CG411/12*2*$E411*$G411*$H411*$N411)+(CG411/12*10*$F411*$G411*$H411*$N411)</f>
        <v>0</v>
      </c>
      <c r="CI411" s="123"/>
      <c r="CJ411" s="127">
        <f>(CI411*$E411*$G411*$H411*$N411)</f>
        <v>0</v>
      </c>
      <c r="CK411" s="123"/>
      <c r="CL411" s="123">
        <f>(CK411/12*2*$E411*$G411*$H411*$N411)+(CK411/12*10*$F411*$G411*$H411*$N411)</f>
        <v>0</v>
      </c>
      <c r="CM411" s="130"/>
      <c r="CN411" s="123">
        <f>(CM411/12*2*$E411*$G411*$H411*$N411)+(CM411/12*10*$F411*$G411*$H411*$N411)</f>
        <v>0</v>
      </c>
      <c r="CO411" s="123"/>
      <c r="CP411" s="123">
        <f>(CO411/12*2*$E411*$G411*$H411*$N411)+(CO411/12*10*$F411*$G411*$H411*$N411)</f>
        <v>0</v>
      </c>
      <c r="CQ411" s="123"/>
      <c r="CR411" s="123">
        <f>(CQ411/12*2*$E411*$G411*$H411*$O411)+(CQ411/12*10*$F411*$G411*$H411*$O411)</f>
        <v>0</v>
      </c>
      <c r="CS411" s="123"/>
      <c r="CT411" s="127">
        <f>(CS411/12*2*$E411*$G411*$H411*$P411)+(CS411/12*10*$F411*$G411*$H411*$P411)</f>
        <v>0</v>
      </c>
      <c r="CU411" s="127"/>
      <c r="CV411" s="127"/>
      <c r="CW411" s="126">
        <f t="shared" si="535"/>
        <v>16</v>
      </c>
      <c r="CX411" s="126">
        <f t="shared" si="535"/>
        <v>1667746.3235999998</v>
      </c>
    </row>
    <row r="412" spans="1:102" ht="18.75" x14ac:dyDescent="0.25">
      <c r="A412" s="91"/>
      <c r="B412" s="116">
        <v>338</v>
      </c>
      <c r="C412" s="117" t="s">
        <v>942</v>
      </c>
      <c r="D412" s="161" t="s">
        <v>943</v>
      </c>
      <c r="E412" s="95">
        <v>28004</v>
      </c>
      <c r="F412" s="96">
        <v>29405</v>
      </c>
      <c r="G412" s="119">
        <v>0.73</v>
      </c>
      <c r="H412" s="110">
        <v>0.9</v>
      </c>
      <c r="I412" s="110">
        <v>0.85</v>
      </c>
      <c r="J412" s="108"/>
      <c r="K412" s="108"/>
      <c r="L412" s="63"/>
      <c r="M412" s="120">
        <v>1.4</v>
      </c>
      <c r="N412" s="120">
        <v>1.68</v>
      </c>
      <c r="O412" s="120">
        <v>2.23</v>
      </c>
      <c r="P412" s="121">
        <v>2.57</v>
      </c>
      <c r="Q412" s="204">
        <v>10</v>
      </c>
      <c r="R412" s="123">
        <f>(Q412/12*2*$E412*$G412*$H412*$M412)+(Q412/12*10*$F412*$G412*$I412*$M412)</f>
        <v>255797.82783333334</v>
      </c>
      <c r="S412" s="124">
        <v>11</v>
      </c>
      <c r="T412" s="125">
        <f>(S412/12*2*$E412*$G412*$H412*$M412)+(S412/12*10*$F412*$G412*$I412*$M412)</f>
        <v>281377.61061666661</v>
      </c>
      <c r="U412" s="123"/>
      <c r="V412" s="123">
        <f>(U412/12*2*$E412*$G412*$H412*$M412)+(U412/12*10*$F412*$G412*$I412*$M412)</f>
        <v>0</v>
      </c>
      <c r="W412" s="123"/>
      <c r="X412" s="123">
        <f>(W412/12*2*$E412*$G412*$H412*$M412)+(W412/12*10*$F412*$G412*$I412*$M412)</f>
        <v>0</v>
      </c>
      <c r="Y412" s="123"/>
      <c r="Z412" s="123">
        <f>(Y412/12*2*$E412*$G412*$H412*$M412)+(Y412/12*10*$F412*$G412*$I412*$M412)</f>
        <v>0</v>
      </c>
      <c r="AA412" s="123"/>
      <c r="AB412" s="123">
        <f>(AA412*$E412*$G412*$H412*$M412)/12*2+(AA412*$F412*$G412*$I412*$M412)/12*10</f>
        <v>0</v>
      </c>
      <c r="AC412" s="123"/>
      <c r="AD412" s="123"/>
      <c r="AE412" s="123">
        <v>85</v>
      </c>
      <c r="AF412" s="127">
        <f>(AE412/12*2*$E412*$G412*$H412*$M412)+(AE412/12*10*$F412*$G412*$I412*$M412)</f>
        <v>2174281.5365833333</v>
      </c>
      <c r="AG412" s="123">
        <f>160-2</f>
        <v>158</v>
      </c>
      <c r="AH412" s="123">
        <f>(AG412/12*2*$E412*$G412*$H412*$M412)+(AG412/12*10*$F412*$G412*$I412*$M412)</f>
        <v>4041605.6797666661</v>
      </c>
      <c r="AI412" s="130">
        <v>9</v>
      </c>
      <c r="AJ412" s="123">
        <f>(AI412/12*2*$E412*$G412*$H412*$M412)+(AI412/12*10*$F412*$G412*$I412*$M412)</f>
        <v>230218.04504999996</v>
      </c>
      <c r="AK412" s="123">
        <f>107-10</f>
        <v>97</v>
      </c>
      <c r="AL412" s="126">
        <f>(AK412/12*2*$E412*$G412*$H412*$N412)+(AK412/12*10*$F412*$G412*$I412*$N412)</f>
        <v>2977486.7159799999</v>
      </c>
      <c r="AM412" s="129">
        <v>0</v>
      </c>
      <c r="AN412" s="123">
        <f>(AM412/12*2*$E412*$G412*$H412*$N412)+(AM412/12*10*$F412*$G412*$I412*$N412)</f>
        <v>0</v>
      </c>
      <c r="AO412" s="130">
        <v>2</v>
      </c>
      <c r="AP412" s="123">
        <f>(AO412/12*2*$E412*$G412*$H412*$N412)+(AO412/12*10*$F412*$G412*$I412*$N412)</f>
        <v>61391.47868</v>
      </c>
      <c r="AQ412" s="123">
        <v>0</v>
      </c>
      <c r="AR412" s="123">
        <v>0</v>
      </c>
      <c r="AS412" s="123"/>
      <c r="AT412" s="123">
        <f>(AS412*$E412*$G412*$H412*$M412)/12*3+(AS412*$F412*$G412*$I412*$M412)/12*9</f>
        <v>0</v>
      </c>
      <c r="AU412" s="123"/>
      <c r="AV412" s="123"/>
      <c r="AW412" s="123">
        <v>14</v>
      </c>
      <c r="AX412" s="123">
        <f>(AW412/12*2*$E412*$G412*$H412*$M412)+(AW412/12*10*$F412*$G412*$I412*$M412)</f>
        <v>358116.95896666666</v>
      </c>
      <c r="AY412" s="123">
        <v>56</v>
      </c>
      <c r="AZ412" s="123">
        <f>(AY412/12*2*$E412*$G412*$H412*$N412)+(AY412/12*10*$F412*$G412*$I412*$N412)</f>
        <v>1718961.40304</v>
      </c>
      <c r="BA412" s="123"/>
      <c r="BB412" s="123">
        <f>(BA412/12*2*$E412*$G412*$H412*$N412)+(BA412/12*10*$F412*$G412*$I412*$N412)</f>
        <v>0</v>
      </c>
      <c r="BC412" s="123"/>
      <c r="BD412" s="123">
        <f>(BC412/12*2*$E412*$G412*$H412*$N412)+(BC412/12*10*$F412*$G412*$I412*$N412)</f>
        <v>0</v>
      </c>
      <c r="BE412" s="123">
        <v>8</v>
      </c>
      <c r="BF412" s="123">
        <f>(BE412/12*10*$F412*$G412*$I412*$N412)</f>
        <v>204352.98799999998</v>
      </c>
      <c r="BG412" s="123"/>
      <c r="BH412" s="123">
        <f>(BG412/12*2*$E412*$G412*$H412*$N412)+(BG412/12*10*$F412*$G412*$I412*$N412)</f>
        <v>0</v>
      </c>
      <c r="BI412" s="123">
        <v>16</v>
      </c>
      <c r="BJ412" s="123">
        <f>(BI412/12*2*$E412*$G412*$H412*$N412)+(BI412/12*10*$F412*$G412*$I412*$N412)</f>
        <v>491131.82944</v>
      </c>
      <c r="BK412" s="123">
        <v>30</v>
      </c>
      <c r="BL412" s="123">
        <f>(BK412/12*2*$E412*$G412*$H412*$N412)+(BK412/12*10*$F412*$G412*$I412*$N412)</f>
        <v>920872.18019999994</v>
      </c>
      <c r="BM412" s="123"/>
      <c r="BN412" s="123"/>
      <c r="BO412" s="123"/>
      <c r="BP412" s="123">
        <f>(BO412/12*2*$E412*$G412*$H412*$M412)+(BO412/12*10*$F412*$G412*$I412*$M412)</f>
        <v>0</v>
      </c>
      <c r="BQ412" s="123"/>
      <c r="BR412" s="123">
        <f>(BQ412/12*2*$E412*$G412*$H412*$M412)+(BQ412/12*10*$F412*$G412*$I412*$M412)</f>
        <v>0</v>
      </c>
      <c r="BS412" s="123">
        <v>13</v>
      </c>
      <c r="BT412" s="123">
        <f>(BS412/12*2*$E412*$G412*$H412*$N412)+(BS412/12*10*$F412*$G412*$I412*$N412)</f>
        <v>399044.61141999997</v>
      </c>
      <c r="BU412" s="123"/>
      <c r="BV412" s="123">
        <f>(BU412/12*2*$E412*$G412*$H412*$M412)+(BU412/12*10*$F412*$G412*$I412*$M412)</f>
        <v>0</v>
      </c>
      <c r="BW412" s="123"/>
      <c r="BX412" s="123">
        <f>(BW412/12*2*$E412*$G412*$H412*$M412)+(BW412/12*10*$F412*$G412*$I412*$M412)</f>
        <v>0</v>
      </c>
      <c r="BY412" s="123">
        <v>30</v>
      </c>
      <c r="BZ412" s="123">
        <f>(BY412/12*2*$E412*$G412*$H412*$M412)+(BY412/12*10*$F412*$G412*$I412*$M412)</f>
        <v>767393.48349999986</v>
      </c>
      <c r="CA412" s="123">
        <v>19</v>
      </c>
      <c r="CB412" s="123">
        <f>(CA412/12*2*$E412*$G412*$H412*$M412)+(CA412/12*10*$F412*$G412*$I412*$M412)</f>
        <v>486015.87288333324</v>
      </c>
      <c r="CC412" s="123">
        <v>17</v>
      </c>
      <c r="CD412" s="123">
        <f>(CC412/12*2*$E412*$G412*$H412*$M412)+(CC412/12*10*$F412*$G412*$I412*$M412)</f>
        <v>434856.3073166667</v>
      </c>
      <c r="CE412" s="123">
        <v>55</v>
      </c>
      <c r="CF412" s="123">
        <f>(CE412/12*10*$F412*$G412*$I412*$N412)</f>
        <v>1404926.7924999997</v>
      </c>
      <c r="CG412" s="132"/>
      <c r="CH412" s="123">
        <f>(CG412/12*2*$E412*$G412*$H412*$N412)+(CG412/12*10*$F412*$G412*$I412*$N412)</f>
        <v>0</v>
      </c>
      <c r="CI412" s="123"/>
      <c r="CJ412" s="127">
        <f>(CI412*$E412*$G412*$H412*$N412)</f>
        <v>0</v>
      </c>
      <c r="CK412" s="123">
        <v>1</v>
      </c>
      <c r="CL412" s="123">
        <f>(CK412/12*2*$E412*$G412*$H412*$N412)+(CK412/12*10*$F412*$G412*$I412*$N412)</f>
        <v>30695.73934</v>
      </c>
      <c r="CM412" s="130"/>
      <c r="CN412" s="123">
        <f>(CM412/12*2*$E412*$G412*$H412*$N412)+(CM412/12*10*$F412*$G412*$I412*$N412)</f>
        <v>0</v>
      </c>
      <c r="CO412" s="123"/>
      <c r="CP412" s="123">
        <f>(CO412/12*2*$E412*$G412*$H412*$N412)+(CO412/12*10*$F412*$G412*$I412*$N412)</f>
        <v>0</v>
      </c>
      <c r="CQ412" s="123"/>
      <c r="CR412" s="123">
        <f>(CQ412/12*2*$E412*$G412*$H412*$O412)+(CQ412/12*10*$F412*$G412*$I412*$O412)</f>
        <v>0</v>
      </c>
      <c r="CS412" s="123">
        <v>2</v>
      </c>
      <c r="CT412" s="127">
        <f>(CS412/12*2*$E412*$G412*$H412*$P412)+(CS412/12*10*$F412*$G412*$I412*$P412)</f>
        <v>93914.345361666652</v>
      </c>
      <c r="CU412" s="127"/>
      <c r="CV412" s="127"/>
      <c r="CW412" s="126">
        <f t="shared" si="535"/>
        <v>633</v>
      </c>
      <c r="CX412" s="126">
        <f t="shared" si="535"/>
        <v>17332441.40647833</v>
      </c>
    </row>
    <row r="413" spans="1:102" ht="30" x14ac:dyDescent="0.25">
      <c r="A413" s="91"/>
      <c r="B413" s="116">
        <v>339</v>
      </c>
      <c r="C413" s="117" t="s">
        <v>944</v>
      </c>
      <c r="D413" s="161" t="s">
        <v>945</v>
      </c>
      <c r="E413" s="95">
        <v>28004</v>
      </c>
      <c r="F413" s="96">
        <v>29405</v>
      </c>
      <c r="G413" s="119">
        <v>0.86</v>
      </c>
      <c r="H413" s="110">
        <v>0.9</v>
      </c>
      <c r="I413" s="110">
        <v>0.8</v>
      </c>
      <c r="J413" s="108"/>
      <c r="K413" s="108"/>
      <c r="L413" s="63"/>
      <c r="M413" s="120">
        <v>1.4</v>
      </c>
      <c r="N413" s="120">
        <v>1.68</v>
      </c>
      <c r="O413" s="120">
        <v>2.23</v>
      </c>
      <c r="P413" s="121">
        <v>2.57</v>
      </c>
      <c r="Q413" s="204">
        <v>60</v>
      </c>
      <c r="R413" s="123">
        <f>(Q413/12*2*$E413*$G413*$H413*$M413)+(Q413/12*10*$F413*$G413*$I413*$M413)</f>
        <v>1719596.1439999999</v>
      </c>
      <c r="S413" s="124">
        <v>21</v>
      </c>
      <c r="T413" s="125">
        <f>(S413/12*2*$E413*$G413*$H413*$M413)+(S413/12*10*$F413*$G413*$I413*$M413)</f>
        <v>601858.65039999993</v>
      </c>
      <c r="U413" s="123"/>
      <c r="V413" s="123">
        <f>(U413/12*2*$E413*$G413*$H413*$M413)+(U413/12*10*$F413*$G413*$I413*$M413)</f>
        <v>0</v>
      </c>
      <c r="W413" s="123"/>
      <c r="X413" s="123">
        <f>(W413/12*2*$E413*$G413*$H413*$M413)+(W413/12*10*$F413*$G413*$I413*$M413)</f>
        <v>0</v>
      </c>
      <c r="Y413" s="123"/>
      <c r="Z413" s="123">
        <f>(Y413/12*2*$E413*$G413*$H413*$M413)+(Y413/12*10*$F413*$G413*$I413*$M413)</f>
        <v>0</v>
      </c>
      <c r="AA413" s="123"/>
      <c r="AB413" s="123">
        <f>(AA413*$E413*$G413*$H413*$M413)/12*2+(AA413*$F413*$G413*$I413*$M413)/12*10</f>
        <v>0</v>
      </c>
      <c r="AC413" s="123"/>
      <c r="AD413" s="123"/>
      <c r="AE413" s="123">
        <v>30</v>
      </c>
      <c r="AF413" s="127">
        <f>(AE413/12*2*$E413*$G413*$H413*$M413)+(AE413/12*10*$F413*$G413*$I413*$M413)</f>
        <v>859798.07199999993</v>
      </c>
      <c r="AG413" s="123">
        <v>140</v>
      </c>
      <c r="AH413" s="123">
        <f>(AG413/12*2*$E413*$G413*$H413*$M413)+(AG413/12*10*$F413*$G413*$I413*$M413)</f>
        <v>4012391.0026666666</v>
      </c>
      <c r="AI413" s="130">
        <v>74</v>
      </c>
      <c r="AJ413" s="123">
        <f>(AI413/12*2*$E413*$G413*$H413*$M413)+(AI413/12*10*$F413*$G413*$I413*$M413)</f>
        <v>2120835.2442666669</v>
      </c>
      <c r="AK413" s="123">
        <v>100</v>
      </c>
      <c r="AL413" s="126">
        <f>(AK413/12*2*$E413*$G413*$H413*$N413)+(AK413/12*10*$F413*$G413*$I413*$N413)</f>
        <v>3439192.2880000006</v>
      </c>
      <c r="AM413" s="132"/>
      <c r="AN413" s="123">
        <f>(AM413/12*2*$E413*$G413*$H413*$N413)+(AM413/12*10*$F413*$G413*$I413*$N413)</f>
        <v>0</v>
      </c>
      <c r="AO413" s="130">
        <v>6</v>
      </c>
      <c r="AP413" s="123">
        <f>(AO413/12*2*$E413*$G413*$H413*$N413)+(AO413/12*10*$F413*$G413*$I413*$N413)</f>
        <v>206351.53728000002</v>
      </c>
      <c r="AQ413" s="123">
        <v>8</v>
      </c>
      <c r="AR413" s="123">
        <v>276753.20000000007</v>
      </c>
      <c r="AS413" s="123"/>
      <c r="AT413" s="123">
        <f>(AS413*$E413*$G413*$H413*$M413)/12*3+(AS413*$F413*$G413*$I413*$M413)/12*9</f>
        <v>0</v>
      </c>
      <c r="AU413" s="123"/>
      <c r="AV413" s="123"/>
      <c r="AW413" s="123">
        <v>20</v>
      </c>
      <c r="AX413" s="123">
        <f>(AW413/12*2*$E413*$G413*$H413*$M413)+(AW413/12*10*$F413*$G413*$I413*$M413)</f>
        <v>573198.7146666667</v>
      </c>
      <c r="AY413" s="123">
        <v>100</v>
      </c>
      <c r="AZ413" s="123">
        <f>(AY413/12*2*$E413*$G413*$H413*$N413)+(AY413/12*10*$F413*$G413*$I413*$N413)</f>
        <v>3439192.2880000006</v>
      </c>
      <c r="BA413" s="123"/>
      <c r="BB413" s="123">
        <f>(BA413/12*2*$E413*$G413*$H413*$N413)+(BA413/12*10*$F413*$G413*$I413*$N413)</f>
        <v>0</v>
      </c>
      <c r="BC413" s="123"/>
      <c r="BD413" s="123">
        <f>(BC413/12*2*$E413*$G413*$H413*$N413)+(BC413/12*10*$F413*$G413*$I413*$N413)</f>
        <v>0</v>
      </c>
      <c r="BE413" s="123">
        <v>10</v>
      </c>
      <c r="BF413" s="123">
        <f>(BE413/12*10*$F413*$G413*$I413*$N413)</f>
        <v>283228.96000000002</v>
      </c>
      <c r="BG413" s="123"/>
      <c r="BH413" s="123">
        <f>(BG413/12*2*$E413*$G413*$H413*$N413)+(BG413/12*10*$F413*$G413*$I413*$N413)</f>
        <v>0</v>
      </c>
      <c r="BI413" s="123">
        <v>25</v>
      </c>
      <c r="BJ413" s="123">
        <f>(BI413/12*2*$E413*$G413*$H413*$N413)+(BI413/12*10*$F413*$G413*$I413*$N413)</f>
        <v>859798.07200000016</v>
      </c>
      <c r="BK413" s="123">
        <v>30</v>
      </c>
      <c r="BL413" s="123">
        <f>(BK413/12*2*$E413*$G413*$H413*$N413)+(BK413/12*10*$F413*$G413*$I413*$N413)</f>
        <v>1031757.6864</v>
      </c>
      <c r="BM413" s="123"/>
      <c r="BN413" s="123"/>
      <c r="BO413" s="123"/>
      <c r="BP413" s="123">
        <f>(BO413/12*2*$E413*$G413*$H413*$M413)+(BO413/12*10*$F413*$G413*$I413*$M413)</f>
        <v>0</v>
      </c>
      <c r="BQ413" s="123">
        <v>2</v>
      </c>
      <c r="BR413" s="123">
        <f>(BQ413/12*2*$E413*$G413*$H413*$M413)+(BQ413/12*10*$F413*$G413*$I413*$M413)</f>
        <v>57319.871466666656</v>
      </c>
      <c r="BS413" s="123">
        <v>5</v>
      </c>
      <c r="BT413" s="123">
        <f>(BS413/12*2*$E413*$G413*$H413*$N413)+(BS413/12*10*$F413*$G413*$I413*$N413)</f>
        <v>171959.61440000002</v>
      </c>
      <c r="BU413" s="123"/>
      <c r="BV413" s="123">
        <f>(BU413/12*2*$E413*$G413*$H413*$M413)+(BU413/12*10*$F413*$G413*$I413*$M413)</f>
        <v>0</v>
      </c>
      <c r="BW413" s="123"/>
      <c r="BX413" s="123">
        <f>(BW413/12*2*$E413*$G413*$H413*$M413)+(BW413/12*10*$F413*$G413*$I413*$M413)</f>
        <v>0</v>
      </c>
      <c r="BY413" s="123">
        <v>20</v>
      </c>
      <c r="BZ413" s="123">
        <f>(BY413/12*2*$E413*$G413*$H413*$M413)+(BY413/12*10*$F413*$G413*$I413*$M413)</f>
        <v>573198.7146666667</v>
      </c>
      <c r="CA413" s="123">
        <v>141</v>
      </c>
      <c r="CB413" s="123">
        <f>(CA413/12*2*$E413*$G413*$H413*$M413)+(CA413/12*10*$F413*$G413*$I413*$M413)</f>
        <v>4041050.9384000003</v>
      </c>
      <c r="CC413" s="123">
        <v>10</v>
      </c>
      <c r="CD413" s="123">
        <f>(CC413/12*2*$E413*$G413*$H413*$M413)+(CC413/12*10*$F413*$G413*$I413*$M413)</f>
        <v>286599.35733333335</v>
      </c>
      <c r="CE413" s="123">
        <v>23</v>
      </c>
      <c r="CF413" s="123">
        <f>(CE413/12*10*$F413*$G413*$I413*$N413)</f>
        <v>651426.60800000001</v>
      </c>
      <c r="CG413" s="132"/>
      <c r="CH413" s="123">
        <f>(CG413/12*2*$E413*$G413*$H413*$N413)+(CG413/12*10*$F413*$G413*$I413*$N413)</f>
        <v>0</v>
      </c>
      <c r="CI413" s="123"/>
      <c r="CJ413" s="127">
        <f>(CI413*$E413*$G413*$H413*$N413)</f>
        <v>0</v>
      </c>
      <c r="CK413" s="123"/>
      <c r="CL413" s="123">
        <f>(CK413/12*2*$E413*$G413*$H413*$N413)+(CK413/12*10*$F413*$G413*$I413*$N413)</f>
        <v>0</v>
      </c>
      <c r="CM413" s="130">
        <v>1</v>
      </c>
      <c r="CN413" s="123">
        <f>(CM413/12*2*$E413*$G413*$H413*$N413)+(CM413/12*10*$F413*$G413*$I413*$N413)</f>
        <v>34391.922879999998</v>
      </c>
      <c r="CO413" s="123"/>
      <c r="CP413" s="123">
        <f>(CO413/12*2*$E413*$G413*$H413*$N413)+(CO413/12*10*$F413*$G413*$I413*$N413)</f>
        <v>0</v>
      </c>
      <c r="CQ413" s="123"/>
      <c r="CR413" s="123">
        <f>(CQ413/12*2*$E413*$G413*$H413*$O413)+(CQ413/12*10*$F413*$G413*$I413*$O413)</f>
        <v>0</v>
      </c>
      <c r="CS413" s="123"/>
      <c r="CT413" s="127">
        <f>(CS413/12*2*$E413*$G413*$H413*$P413)+(CS413/12*10*$F413*$G413*$I413*$P413)</f>
        <v>0</v>
      </c>
      <c r="CU413" s="127"/>
      <c r="CV413" s="127"/>
      <c r="CW413" s="126">
        <f t="shared" si="535"/>
        <v>826</v>
      </c>
      <c r="CX413" s="126">
        <f t="shared" si="535"/>
        <v>25239898.886826672</v>
      </c>
    </row>
    <row r="414" spans="1:102" ht="30" x14ac:dyDescent="0.25">
      <c r="A414" s="91"/>
      <c r="B414" s="116">
        <v>340</v>
      </c>
      <c r="C414" s="117" t="s">
        <v>946</v>
      </c>
      <c r="D414" s="161" t="s">
        <v>947</v>
      </c>
      <c r="E414" s="95">
        <v>28004</v>
      </c>
      <c r="F414" s="96">
        <v>29405</v>
      </c>
      <c r="G414" s="119">
        <v>1.24</v>
      </c>
      <c r="H414" s="110">
        <v>0.85</v>
      </c>
      <c r="I414" s="110">
        <v>0.8</v>
      </c>
      <c r="J414" s="108"/>
      <c r="K414" s="108"/>
      <c r="L414" s="63"/>
      <c r="M414" s="120">
        <v>1.4</v>
      </c>
      <c r="N414" s="120">
        <v>1.68</v>
      </c>
      <c r="O414" s="120">
        <v>2.23</v>
      </c>
      <c r="P414" s="121">
        <v>2.57</v>
      </c>
      <c r="Q414" s="204">
        <v>4</v>
      </c>
      <c r="R414" s="123">
        <f>(Q414/12*2*$E414*$G414*$H414*$M414)+(Q414/12*10*$F414*$G414*$I414*$M414)</f>
        <v>163674.01493333332</v>
      </c>
      <c r="S414" s="124">
        <v>3</v>
      </c>
      <c r="T414" s="125">
        <f>(S414/12*2*$E414*$G414*$H414*$M414)+(S414/12*10*$F414*$G414*$I414*$M414)</f>
        <v>122755.51120000001</v>
      </c>
      <c r="U414" s="123"/>
      <c r="V414" s="123">
        <f>(U414/12*2*$E414*$G414*$H414*$M414)+(U414/12*10*$F414*$G414*$I414*$M414)</f>
        <v>0</v>
      </c>
      <c r="W414" s="123"/>
      <c r="X414" s="123">
        <f>(W414/12*2*$E414*$G414*$H414*$M414)+(W414/12*10*$F414*$G414*$I414*$M414)</f>
        <v>0</v>
      </c>
      <c r="Y414" s="123"/>
      <c r="Z414" s="123">
        <f>(Y414/12*2*$E414*$G414*$H414*$M414)+(Y414/12*10*$F414*$G414*$I414*$M414)</f>
        <v>0</v>
      </c>
      <c r="AA414" s="123"/>
      <c r="AB414" s="123">
        <f>(AA414*$E414*$G414*$H414*$M414)/12*2+(AA414*$F414*$G414*$I414*$M414)/12*10</f>
        <v>0</v>
      </c>
      <c r="AC414" s="123"/>
      <c r="AD414" s="123"/>
      <c r="AE414" s="123">
        <v>11</v>
      </c>
      <c r="AF414" s="127">
        <f>(AE414/12*2*$E414*$G414*$H414*$M414)+(AE414/12*10*$F414*$G414*$I414*$M414)</f>
        <v>450103.5410666666</v>
      </c>
      <c r="AG414" s="123">
        <f>48+5</f>
        <v>53</v>
      </c>
      <c r="AH414" s="123">
        <f>(AG414/12*2*$E414*$G414*$H414*$M414)+(AG414/12*10*$F414*$G414*$I414*$M414)</f>
        <v>2168680.6978666671</v>
      </c>
      <c r="AI414" s="130">
        <v>33</v>
      </c>
      <c r="AJ414" s="123">
        <f>(AI414/12*2*$E414*$G414*$H414*$M414)+(AI414/12*10*$F414*$G414*$I414*$M414)</f>
        <v>1350310.6232</v>
      </c>
      <c r="AK414" s="123">
        <v>45</v>
      </c>
      <c r="AL414" s="126">
        <f>(AK414/12*2*$E414*$G414*$H414*$N414)+(AK414/12*10*$F414*$G414*$I414*$N414)</f>
        <v>2209599.2015999998</v>
      </c>
      <c r="AM414" s="132"/>
      <c r="AN414" s="123">
        <f>(AM414/12*2*$E414*$G414*$H414*$N414)+(AM414/12*10*$F414*$G414*$I414*$N414)</f>
        <v>0</v>
      </c>
      <c r="AO414" s="130">
        <v>2</v>
      </c>
      <c r="AP414" s="123">
        <f>(AO414/12*2*$E414*$G414*$H414*$N414)+(AO414/12*10*$F414*$G414*$I414*$N414)</f>
        <v>98204.408960000001</v>
      </c>
      <c r="AQ414" s="123">
        <v>0</v>
      </c>
      <c r="AR414" s="123">
        <v>0</v>
      </c>
      <c r="AS414" s="123"/>
      <c r="AT414" s="123">
        <f>(AS414*$E414*$G414*$H414*$M414)/12*3+(AS414*$F414*$G414*$I414*$M414)/12*9</f>
        <v>0</v>
      </c>
      <c r="AU414" s="123"/>
      <c r="AV414" s="123"/>
      <c r="AW414" s="123">
        <v>8</v>
      </c>
      <c r="AX414" s="123">
        <f>(AW414/12*2*$E414*$G414*$H414*$M414)+(AW414/12*10*$F414*$G414*$I414*$M414)</f>
        <v>327348.02986666665</v>
      </c>
      <c r="AY414" s="123">
        <v>7</v>
      </c>
      <c r="AZ414" s="123">
        <f>(AY414/12*2*$E414*$G414*$H414*$N414)+(AY414/12*10*$F414*$G414*$I414*$N414)</f>
        <v>343715.43135999999</v>
      </c>
      <c r="BA414" s="123"/>
      <c r="BB414" s="123">
        <f>(BA414/12*2*$E414*$G414*$H414*$N414)+(BA414/12*10*$F414*$G414*$I414*$N414)</f>
        <v>0</v>
      </c>
      <c r="BC414" s="123"/>
      <c r="BD414" s="123">
        <f>(BC414/12*2*$E414*$G414*$H414*$N414)+(BC414/12*10*$F414*$G414*$I414*$N414)</f>
        <v>0</v>
      </c>
      <c r="BE414" s="123">
        <v>10</v>
      </c>
      <c r="BF414" s="123">
        <f>(BE414/12*10*$F414*$G414*$I414*$N414)</f>
        <v>408376.64000000007</v>
      </c>
      <c r="BG414" s="123"/>
      <c r="BH414" s="123">
        <f>(BG414/12*2*$E414*$G414*$H414*$N414)+(BG414/12*10*$F414*$G414*$I414*$N414)</f>
        <v>0</v>
      </c>
      <c r="BI414" s="123">
        <v>3</v>
      </c>
      <c r="BJ414" s="123">
        <f>(BI414/12*2*$E414*$G414*$H414*$N414)+(BI414/12*10*$F414*$G414*$I414*$N414)</f>
        <v>147306.61344000002</v>
      </c>
      <c r="BK414" s="123">
        <v>16</v>
      </c>
      <c r="BL414" s="123">
        <f>(BK414/12*2*$E414*$G414*$H414*$N414)+(BK414/12*10*$F414*$G414*$I414*$N414)</f>
        <v>785635.27168000001</v>
      </c>
      <c r="BM414" s="123"/>
      <c r="BN414" s="123"/>
      <c r="BO414" s="123"/>
      <c r="BP414" s="123">
        <f>(BO414/12*2*$E414*$G414*$H414*$M414)+(BO414/12*10*$F414*$G414*$I414*$M414)</f>
        <v>0</v>
      </c>
      <c r="BQ414" s="123">
        <v>3</v>
      </c>
      <c r="BR414" s="123">
        <f>(BQ414*$F414*$G414*$I414*$M414)</f>
        <v>122512.99200000001</v>
      </c>
      <c r="BS414" s="123">
        <v>1</v>
      </c>
      <c r="BT414" s="123">
        <f>(BS414/12*2*$E414*$G414*$H414*$N414)+(BS414/12*10*$F414*$G414*$I414*$N414)</f>
        <v>49102.20448</v>
      </c>
      <c r="BU414" s="123"/>
      <c r="BV414" s="123">
        <f>(BU414/12*2*$E414*$G414*$H414*$M414)+(BU414/12*10*$F414*$G414*$I414*$M414)</f>
        <v>0</v>
      </c>
      <c r="BW414" s="123"/>
      <c r="BX414" s="123">
        <f>(BW414/12*2*$E414*$G414*$H414*$M414)+(BW414/12*10*$F414*$G414*$I414*$M414)</f>
        <v>0</v>
      </c>
      <c r="BY414" s="123"/>
      <c r="BZ414" s="123">
        <f>(BY414/12*2*$E414*$G414*$H414*$M414)+(BY414/12*10*$F414*$G414*$I414*$M414)</f>
        <v>0</v>
      </c>
      <c r="CA414" s="123">
        <v>1</v>
      </c>
      <c r="CB414" s="123">
        <f>(CA414/12*2*$E414*$G414*$H414*$M414)+(CA414/12*10*$F414*$G414*$I414*$M414)</f>
        <v>40918.503733333331</v>
      </c>
      <c r="CC414" s="123"/>
      <c r="CD414" s="123">
        <f>(CC414/12*2*$E414*$G414*$H414*$M414)+(CC414/12*10*$F414*$G414*$I414*$M414)</f>
        <v>0</v>
      </c>
      <c r="CE414" s="123">
        <v>5</v>
      </c>
      <c r="CF414" s="123">
        <f>(CE414/12*10*$F414*$G414*$I414*$N414)</f>
        <v>204188.32000000004</v>
      </c>
      <c r="CG414" s="132"/>
      <c r="CH414" s="123">
        <f>(CG414/12*2*$E414*$G414*$H414*$N414)+(CG414/12*10*$F414*$G414*$I414*$N414)</f>
        <v>0</v>
      </c>
      <c r="CI414" s="123"/>
      <c r="CJ414" s="127">
        <f>(CI414*$E414*$G414*$H414*$N414)</f>
        <v>0</v>
      </c>
      <c r="CK414" s="123"/>
      <c r="CL414" s="123">
        <f>(CK414/12*2*$E414*$G414*$H414*$N414)+(CK414/12*10*$F414*$G414*$I414*$N414)</f>
        <v>0</v>
      </c>
      <c r="CM414" s="130"/>
      <c r="CN414" s="123">
        <f>(CM414/12*2*$E414*$G414*$H414*$N414)+(CM414/12*10*$F414*$G414*$I414*$N414)</f>
        <v>0</v>
      </c>
      <c r="CO414" s="123"/>
      <c r="CP414" s="123">
        <f>(CO414/12*2*$E414*$G414*$H414*$N414)+(CO414/12*10*$F414*$G414*$I414*$N414)</f>
        <v>0</v>
      </c>
      <c r="CQ414" s="123"/>
      <c r="CR414" s="123">
        <f>(CQ414/12*2*$E414*$G414*$H414*$O414)+(CQ414/12*10*$F414*$G414*$I414*$O414)</f>
        <v>0</v>
      </c>
      <c r="CS414" s="123"/>
      <c r="CT414" s="127">
        <f>(CS414/12*2*$E414*$G414*$H414*$P414)+(CS414/12*10*$F414*$G414*$I414*$P414)</f>
        <v>0</v>
      </c>
      <c r="CU414" s="127"/>
      <c r="CV414" s="127"/>
      <c r="CW414" s="126">
        <f t="shared" si="535"/>
        <v>205</v>
      </c>
      <c r="CX414" s="126">
        <f t="shared" si="535"/>
        <v>8992432.0053866655</v>
      </c>
    </row>
    <row r="415" spans="1:102" ht="30" x14ac:dyDescent="0.25">
      <c r="A415" s="91"/>
      <c r="B415" s="116">
        <v>341</v>
      </c>
      <c r="C415" s="117" t="s">
        <v>948</v>
      </c>
      <c r="D415" s="161" t="s">
        <v>949</v>
      </c>
      <c r="E415" s="95">
        <v>28004</v>
      </c>
      <c r="F415" s="96">
        <v>29405</v>
      </c>
      <c r="G415" s="119">
        <v>1.78</v>
      </c>
      <c r="H415" s="110">
        <v>0.85</v>
      </c>
      <c r="I415" s="110">
        <v>0.8</v>
      </c>
      <c r="J415" s="108"/>
      <c r="K415" s="108"/>
      <c r="L415" s="63"/>
      <c r="M415" s="120">
        <v>1.4</v>
      </c>
      <c r="N415" s="120">
        <v>1.68</v>
      </c>
      <c r="O415" s="120">
        <v>2.23</v>
      </c>
      <c r="P415" s="121">
        <v>2.57</v>
      </c>
      <c r="Q415" s="204">
        <v>100</v>
      </c>
      <c r="R415" s="123">
        <f>(Q415/12*2*$E415*$G415*$H415*$M415)+(Q415/12*10*$F415*$G415*$I415*$M415)</f>
        <v>5873785.2133333338</v>
      </c>
      <c r="S415" s="124">
        <v>141</v>
      </c>
      <c r="T415" s="125">
        <f>(S415/12*2*$E415*$G415*$H415*$M415)+(S415/12*10*$F415*$G415*$I415*$M415)</f>
        <v>8282037.1508000009</v>
      </c>
      <c r="U415" s="123"/>
      <c r="V415" s="123">
        <f>(U415/12*2*$E415*$G415*$H415*$M415)+(U415/12*10*$F415*$G415*$I415*$M415)</f>
        <v>0</v>
      </c>
      <c r="W415" s="123"/>
      <c r="X415" s="123">
        <f>(W415/12*2*$E415*$G415*$H415*$M415)+(W415/12*10*$F415*$G415*$I415*$M415)</f>
        <v>0</v>
      </c>
      <c r="Y415" s="123"/>
      <c r="Z415" s="123">
        <f>(Y415/12*2*$E415*$G415*$H415*$M415)+(Y415/12*10*$F415*$G415*$I415*$M415)</f>
        <v>0</v>
      </c>
      <c r="AA415" s="123"/>
      <c r="AB415" s="123">
        <f>(AA415*$E415*$G415*$H415*$M415)/12*2+(AA415*$F415*$G415*$I415*$M415)/12*10</f>
        <v>0</v>
      </c>
      <c r="AC415" s="123"/>
      <c r="AD415" s="123"/>
      <c r="AE415" s="123">
        <v>50</v>
      </c>
      <c r="AF415" s="127">
        <f>(AE415/12*2*$E415*$G415*$H415*$M415)+(AE415/12*10*$F415*$G415*$I415*$M415)</f>
        <v>2936892.6066666669</v>
      </c>
      <c r="AG415" s="123">
        <f>200-3-82</f>
        <v>115</v>
      </c>
      <c r="AH415" s="123">
        <f>(AG415/12*2*$E415*$G415*$H415*$M415)+(AG415/12*10*$F415*$G415*$I415*$M415)</f>
        <v>6754852.9953333344</v>
      </c>
      <c r="AI415" s="130">
        <v>143</v>
      </c>
      <c r="AJ415" s="123">
        <f>(AI415/12*2*$E415*$G415*$H415*$M415)+(AI415/12*10*$F415*$G415*$I415*$M415)</f>
        <v>8399512.8550666664</v>
      </c>
      <c r="AK415" s="123">
        <f>20+7</f>
        <v>27</v>
      </c>
      <c r="AL415" s="126">
        <f>(AK415/12*2*$E415*$G415*$H415*$N415)+(AK415/12*10*$F415*$G415*$I415*$N415)</f>
        <v>1903106.40912</v>
      </c>
      <c r="AM415" s="129"/>
      <c r="AN415" s="123">
        <f>(AM415/12*2*$E415*$G415*$H415*$N415)+(AM415/12*10*$F415*$G415*$I415*$N415)</f>
        <v>0</v>
      </c>
      <c r="AO415" s="130"/>
      <c r="AP415" s="123">
        <f>(AO415/12*2*$E415*$G415*$H415*$N415)+(AO415/12*10*$F415*$G415*$I415*$N415)</f>
        <v>0</v>
      </c>
      <c r="AQ415" s="123">
        <v>17</v>
      </c>
      <c r="AR415" s="123">
        <v>1196720.4099999999</v>
      </c>
      <c r="AS415" s="123"/>
      <c r="AT415" s="123">
        <f>(AS415*$E415*$G415*$H415*$M415)/12*3+(AS415*$F415*$G415*$I415*$M415)/12*9</f>
        <v>0</v>
      </c>
      <c r="AU415" s="123"/>
      <c r="AV415" s="123"/>
      <c r="AW415" s="123">
        <v>9</v>
      </c>
      <c r="AX415" s="123">
        <f>(AW415/12*2*$E415*$G415*$H415*$M415)+(AW415/12*10*$F415*$G415*$I415*$M415)</f>
        <v>528640.6692</v>
      </c>
      <c r="AY415" s="123">
        <v>59</v>
      </c>
      <c r="AZ415" s="123">
        <f>(AY415/12*2*$E415*$G415*$H415*$N415)+(AY415/12*10*$F415*$G415*$I415*$N415)</f>
        <v>4158639.9310400002</v>
      </c>
      <c r="BA415" s="123"/>
      <c r="BB415" s="123">
        <f>(BA415/12*2*$E415*$G415*$H415*$N415)+(BA415/12*10*$F415*$G415*$I415*$N415)</f>
        <v>0</v>
      </c>
      <c r="BC415" s="123"/>
      <c r="BD415" s="123">
        <f>(BC415/12*2*$E415*$G415*$H415*$N415)+(BC415/12*10*$F415*$G415*$I415*$N415)</f>
        <v>0</v>
      </c>
      <c r="BE415" s="123">
        <v>5</v>
      </c>
      <c r="BF415" s="123">
        <f>(BE415/12*10*$F415*$G415*$I415*$N415)</f>
        <v>293109.04000000004</v>
      </c>
      <c r="BG415" s="123"/>
      <c r="BH415" s="123">
        <f>(BG415/12*2*$E415*$G415*$H415*$N415)+(BG415/12*10*$F415*$G415*$I415*$N415)</f>
        <v>0</v>
      </c>
      <c r="BI415" s="123"/>
      <c r="BJ415" s="123">
        <f>(BI415/12*2*$E415*$G415*$H415*$N415)+(BI415/12*10*$F415*$G415*$I415*$N415)</f>
        <v>0</v>
      </c>
      <c r="BK415" s="123">
        <v>25</v>
      </c>
      <c r="BL415" s="123">
        <f>(BK415/12*2*$E415*$G415*$H415*$N415)+(BK415/12*10*$F415*$G415*$I415*$N415)</f>
        <v>1762135.5640000002</v>
      </c>
      <c r="BM415" s="123"/>
      <c r="BN415" s="123"/>
      <c r="BO415" s="123"/>
      <c r="BP415" s="123">
        <f>(BO415/12*2*$E415*$G415*$H415*$M415)+(BO415/12*10*$F415*$G415*$I415*$M415)</f>
        <v>0</v>
      </c>
      <c r="BQ415" s="123">
        <v>64</v>
      </c>
      <c r="BR415" s="123">
        <f>(BQ415/12*2*$E415*$G415*$H415*$M415)+(BQ415/12*10*$F415*$G415*$I415*$M415)</f>
        <v>3759222.5365333334</v>
      </c>
      <c r="BS415" s="123">
        <v>3</v>
      </c>
      <c r="BT415" s="123">
        <f>(BS415/12*2*$E415*$G415*$H415*$N415)+(BS415/12*10*$F415*$G415*$I415*$N415)</f>
        <v>211456.26767999999</v>
      </c>
      <c r="BU415" s="123"/>
      <c r="BV415" s="123">
        <f>(BU415/12*2*$E415*$G415*$H415*$M415)+(BU415/12*10*$F415*$G415*$I415*$M415)</f>
        <v>0</v>
      </c>
      <c r="BW415" s="123"/>
      <c r="BX415" s="123">
        <f>(BW415/12*2*$E415*$G415*$H415*$M415)+(BW415/12*10*$F415*$G415*$I415*$M415)</f>
        <v>0</v>
      </c>
      <c r="BY415" s="123"/>
      <c r="BZ415" s="123">
        <f>(BY415/12*2*$E415*$G415*$H415*$M415)+(BY415/12*10*$F415*$G415*$I415*$M415)</f>
        <v>0</v>
      </c>
      <c r="CA415" s="123">
        <v>45</v>
      </c>
      <c r="CB415" s="123">
        <f>(CA415/12*2*$E415*$G415*$H415*$M415)+(CA415/12*10*$F415*$G415*$I415*$M415)</f>
        <v>2643203.3459999999</v>
      </c>
      <c r="CC415" s="123"/>
      <c r="CD415" s="123">
        <f>(CC415/12*2*$E415*$G415*$H415*$M415)+(CC415/12*10*$F415*$G415*$I415*$M415)</f>
        <v>0</v>
      </c>
      <c r="CE415" s="123"/>
      <c r="CF415" s="123">
        <f>(CE415/12*10*$F415*$G415*$I415*$N415)</f>
        <v>0</v>
      </c>
      <c r="CG415" s="132"/>
      <c r="CH415" s="123">
        <f>(CG415/12*2*$E415*$G415*$H415*$N415)+(CG415/12*10*$F415*$G415*$I415*$N415)</f>
        <v>0</v>
      </c>
      <c r="CI415" s="123"/>
      <c r="CJ415" s="127">
        <f>(CI415*$E415*$G415*$H415*$N415)</f>
        <v>0</v>
      </c>
      <c r="CK415" s="123"/>
      <c r="CL415" s="123">
        <f>(CK415/12*2*$E415*$G415*$H415*$N415)+(CK415/12*10*$F415*$G415*$I415*$N415)</f>
        <v>0</v>
      </c>
      <c r="CM415" s="130"/>
      <c r="CN415" s="123">
        <f>(CM415/12*2*$E415*$G415*$H415*$N415)+(CM415/12*10*$F415*$G415*$I415*$N415)</f>
        <v>0</v>
      </c>
      <c r="CO415" s="123"/>
      <c r="CP415" s="123">
        <f>(CO415/12*2*$E415*$G415*$H415*$N415)+(CO415/12*10*$F415*$G415*$I415*$N415)</f>
        <v>0</v>
      </c>
      <c r="CQ415" s="123"/>
      <c r="CR415" s="123">
        <f>(CQ415/12*2*$E415*$G415*$H415*$O415)+(CQ415/12*10*$F415*$G415*$I415*$O415)</f>
        <v>0</v>
      </c>
      <c r="CS415" s="123"/>
      <c r="CT415" s="127">
        <f>(CS415/12*2*$E415*$G415*$H415*$P415)+(CS415/12*10*$F415*$G415*$I415*$P415)</f>
        <v>0</v>
      </c>
      <c r="CU415" s="127"/>
      <c r="CV415" s="127"/>
      <c r="CW415" s="126">
        <f t="shared" si="535"/>
        <v>803</v>
      </c>
      <c r="CX415" s="126">
        <f t="shared" si="535"/>
        <v>48703314.994773328</v>
      </c>
    </row>
    <row r="416" spans="1:102" ht="30" x14ac:dyDescent="0.25">
      <c r="A416" s="91"/>
      <c r="B416" s="116">
        <v>342</v>
      </c>
      <c r="C416" s="117" t="s">
        <v>950</v>
      </c>
      <c r="D416" s="161" t="s">
        <v>951</v>
      </c>
      <c r="E416" s="95">
        <v>28004</v>
      </c>
      <c r="F416" s="96">
        <v>29405</v>
      </c>
      <c r="G416" s="119">
        <v>5.6</v>
      </c>
      <c r="H416" s="110">
        <v>0.9</v>
      </c>
      <c r="I416" s="110">
        <v>0.85</v>
      </c>
      <c r="J416" s="108"/>
      <c r="K416" s="108"/>
      <c r="L416" s="63"/>
      <c r="M416" s="120">
        <v>1.4</v>
      </c>
      <c r="N416" s="120">
        <v>1.68</v>
      </c>
      <c r="O416" s="120">
        <v>2.23</v>
      </c>
      <c r="P416" s="121">
        <v>2.57</v>
      </c>
      <c r="Q416" s="204">
        <v>57</v>
      </c>
      <c r="R416" s="123">
        <f>(Q416/12*2*$E416*$G416*$H416*$M416*$R$11)+(Q416/12*10*$F416*$G416*$I416*$M416*$R$11)</f>
        <v>12303525.110799998</v>
      </c>
      <c r="S416" s="124">
        <v>2</v>
      </c>
      <c r="T416" s="125">
        <f>(S416/12*2*$E416*$G416*$H416*$M416*$R$11)+(S416/12*10*$F416*$G416*$I416*$M416*$R$11)</f>
        <v>431702.63546666666</v>
      </c>
      <c r="U416" s="123"/>
      <c r="V416" s="123">
        <f>(U416/12*2*$E416*$G416*$H416*$M416*$V$11)+(U416/12*10*$F416*$G416*$I416*$M416*$V$12)</f>
        <v>0</v>
      </c>
      <c r="W416" s="123"/>
      <c r="X416" s="126">
        <f>(W416/12*2*$E416*$G416*$H416*$M416*$X$11)+(W416/12*10*$F416*$G416*$I416*$M416*$X$12)</f>
        <v>0</v>
      </c>
      <c r="Y416" s="123"/>
      <c r="Z416" s="123">
        <f>(Y416/12*2*$E416*$G416*$H416*$M416*$Z$11)+(Y416/12*10*$F416*$G416*$I416*$M416*$Z$12)</f>
        <v>0</v>
      </c>
      <c r="AA416" s="123"/>
      <c r="AB416" s="123">
        <f>(AA416/12*2*$E416*$G416*$H416*$M416*$AB$11)+(AA416/12*10*$F416*$G416*$I416*$M416*$AB$11)</f>
        <v>0</v>
      </c>
      <c r="AC416" s="123"/>
      <c r="AD416" s="123"/>
      <c r="AE416" s="123"/>
      <c r="AF416" s="127">
        <f>(AE416/12*2*$E416*$G416*$H416*$M416*$AF$11)+(AE416/12*10*$F416*$G416*$I416*$M416*$AF$11)</f>
        <v>0</v>
      </c>
      <c r="AG416" s="123">
        <v>0</v>
      </c>
      <c r="AH416" s="126">
        <f>(AG416/12*2*$E416*$G416*$H416*$M416*$AH$11)+(AG416/12*10*$F416*$G416*$I416*$M416*$AH$11)</f>
        <v>0</v>
      </c>
      <c r="AI416" s="130">
        <v>40</v>
      </c>
      <c r="AJ416" s="123">
        <f t="shared" ref="AJ416:AJ419" si="538">(AI416/12*2*$E416*$G416*$H416*$M416*$AJ$11)+(AI416/12*5*$F416*$G416*$I416*$M416*$AJ$12)+(AI416/12*5*$F416*$G416*$I416*$M416*$AJ$13)</f>
        <v>10138562.167999998</v>
      </c>
      <c r="AK416" s="123"/>
      <c r="AL416" s="123">
        <f t="shared" ref="AL416:AL419" si="539">(AK416/12*2*$E416*$G416*$H416*$N416*$AL$11)+(AK416/12*5*$F416*$G416*$I416*$N416*$AL$12)+(AK416/12*5*$F416*$G416*$I416*$N416*$AL$13)</f>
        <v>0</v>
      </c>
      <c r="AM416" s="132">
        <v>0</v>
      </c>
      <c r="AN416" s="123">
        <f>(AM416/12*2*$E416*$G416*$H416*$N416*$AN$11)+(AM416/12*10*$F416*$G416*$I416*$N416*$AN$12)</f>
        <v>0</v>
      </c>
      <c r="AO416" s="130"/>
      <c r="AP416" s="127">
        <f>(AO416/12*2*$E416*$G416*$H416*$N416*$AP$11)+(AO416/12*10*$F416*$G416*$I416*$N416*$AP$11)</f>
        <v>0</v>
      </c>
      <c r="AQ416" s="127">
        <v>0</v>
      </c>
      <c r="AR416" s="127">
        <v>0</v>
      </c>
      <c r="AS416" s="123"/>
      <c r="AT416" s="123"/>
      <c r="AU416" s="123"/>
      <c r="AV416" s="126"/>
      <c r="AW416" s="123"/>
      <c r="AX416" s="123">
        <f>(AW416/12*2*$E416*$G416*$H416*$M416*$AX$11)+(AW416/12*10*$F416*$G416*$I416*$M416*$AX$12)</f>
        <v>0</v>
      </c>
      <c r="AY416" s="123">
        <v>10</v>
      </c>
      <c r="AZ416" s="123">
        <f>(AY416/12*2*$E416*$G416*$H416*$N416*$AZ$11)+(AY416/12*10*$F416*$G416*$I416*$N416*$AZ$11)</f>
        <v>2590215.8127999995</v>
      </c>
      <c r="BA416" s="123"/>
      <c r="BB416" s="123">
        <f>(BA416/12*2*$E416*$G416*$H416*$N416*$BB$11)+(BA416/12*10*$F416*$G416*$I416*$N416*$BB$12)</f>
        <v>0</v>
      </c>
      <c r="BC416" s="123"/>
      <c r="BD416" s="126"/>
      <c r="BE416" s="123">
        <v>1</v>
      </c>
      <c r="BF416" s="123">
        <f>(BE416/12*10*$F416*$G416*$I416*$N416*$BF$12)</f>
        <v>195954.91999999995</v>
      </c>
      <c r="BG416" s="123"/>
      <c r="BH416" s="123">
        <f>(BG416/12*2*$E416*$G416*$H416*$N416*$BH$11)+(BG416/12*10*$F416*$G416*$I416*$N416*$BH$11)</f>
        <v>0</v>
      </c>
      <c r="BI416" s="123"/>
      <c r="BJ416" s="126">
        <f>(BI416/12*2*$E416*$G416*$H416*$N416*$BJ$11)+(BI416/12*10*$F416*$G416*$I416*$N416*$BJ$11)</f>
        <v>0</v>
      </c>
      <c r="BK416" s="123"/>
      <c r="BL416" s="127">
        <f>(BK416/12*2*$E416*$G416*$H416*$N416*$BL$11)+(BK416/12*10*$F416*$G416*$I416*$N416*$BL$11)</f>
        <v>0</v>
      </c>
      <c r="BM416" s="123"/>
      <c r="BN416" s="123">
        <f>(BM416/12*2*$E416*$G416*$H416*$M416*$BN$11)+(BM416/12*10*$F416*$G416*$I416*$M416*$BN$11)</f>
        <v>0</v>
      </c>
      <c r="BO416" s="123"/>
      <c r="BP416" s="123">
        <f>(BO416/12*2*$E416*$G416*$H416*$M416*$BP$11)+(BO416/12*10*$F416*$G416*$I416*$M416*$BP$12)</f>
        <v>0</v>
      </c>
      <c r="BQ416" s="123"/>
      <c r="BR416" s="123">
        <f>(BQ416/12*2*$E416*$G416*$H416*$M416*$BR$11)+(BQ416/12*10*$F416*$G416*$I416*$M416*$BR$11)</f>
        <v>0</v>
      </c>
      <c r="BS416" s="123"/>
      <c r="BT416" s="123">
        <f>(BS416/12*2*$E416*$G416*$H416*$N416*$BT$11)+(BS416/12*10*$F416*$G416*$I416*$N416*$BT$11)</f>
        <v>0</v>
      </c>
      <c r="BU416" s="123"/>
      <c r="BV416" s="126">
        <f>(BU416/12*2*$E416*$G416*$H416*$M416*$BV$11)+(BU416/12*10*$F416*$G416*$I416*$M416*$BV$11)</f>
        <v>0</v>
      </c>
      <c r="BW416" s="123"/>
      <c r="BX416" s="123">
        <f>(BW416/12*2*$E416*$G416*$H416*$M416*$BX$11)+(BW416/12*10*$F416*$G416*$I416*$M416*$BX$11)</f>
        <v>0</v>
      </c>
      <c r="BY416" s="123"/>
      <c r="BZ416" s="123">
        <f>(BY416/12*2*$E416*$G416*$H416*$M416*$BZ$11)+(BY416/12*10*$F416*$G416*$I416*$M416*$BZ$11)</f>
        <v>0</v>
      </c>
      <c r="CA416" s="123"/>
      <c r="CB416" s="123">
        <f>(CA416/12*2*$E416*$G416*$H416*$M416*$CB$11)+(CA416/12*10*$F416*$G416*$I416*$M416*$CB$11)</f>
        <v>0</v>
      </c>
      <c r="CC416" s="123"/>
      <c r="CD416" s="123">
        <f>(CC416/12*2*$E416*$G416*$H416*$M416*$CD$11)+(CC416/12*10*$F416*$G416*$I416*$M416*$CD$11)</f>
        <v>0</v>
      </c>
      <c r="CE416" s="123"/>
      <c r="CF416" s="123">
        <f>(CE416/12*10*$F416*$G416*$I416*$N416*$CF$11)</f>
        <v>0</v>
      </c>
      <c r="CG416" s="132"/>
      <c r="CH416" s="123">
        <f>(CG416/12*2*$E416*$G416*$H416*$N416*$CH$11)+(CG416/12*10*$F416*$G416*$I416*$N416*$CH$11)</f>
        <v>0</v>
      </c>
      <c r="CI416" s="123"/>
      <c r="CJ416" s="127"/>
      <c r="CK416" s="123"/>
      <c r="CL416" s="123">
        <f>(CK416/12*2*$E416*$G416*$H416*$N416*$CL$11)+(CK416/12*10*$F416*$G416*$I416*$N416*$CL$12)</f>
        <v>0</v>
      </c>
      <c r="CM416" s="130"/>
      <c r="CN416" s="123">
        <f>(CM416/12*2*$E416*$G416*$H416*$N416*$CN$11)+(CM416/12*10*$F416*$G416*$I416*$N416*$CN$11)</f>
        <v>0</v>
      </c>
      <c r="CO416" s="123"/>
      <c r="CP416" s="123">
        <f>(CO416/12*2*$E416*$G416*$H416*$N416*$CP$11)+(CO416/12*10*$F416*$G416*$I416*$N416*$CP$11)</f>
        <v>0</v>
      </c>
      <c r="CQ416" s="123"/>
      <c r="CR416" s="123">
        <f>(CQ416/12*2*$E416*$G416*$H416*$O416*$CR$11)+(CQ416/12*10*$F416*$G416*$I416*$O416*$CR$11)</f>
        <v>0</v>
      </c>
      <c r="CS416" s="123"/>
      <c r="CT416" s="133">
        <f>(CS416/12*2*$E416*$G416*$H416*$P416*$CT$11)+(CS416/12*10*$F416*$G416*$I416*$P416*$CT$11)</f>
        <v>0</v>
      </c>
      <c r="CU416" s="127"/>
      <c r="CV416" s="123"/>
      <c r="CW416" s="126">
        <f t="shared" si="535"/>
        <v>110</v>
      </c>
      <c r="CX416" s="126">
        <f t="shared" si="535"/>
        <v>25659960.64706666</v>
      </c>
    </row>
    <row r="417" spans="1:102" ht="30" x14ac:dyDescent="0.25">
      <c r="A417" s="91"/>
      <c r="B417" s="116">
        <v>343</v>
      </c>
      <c r="C417" s="117" t="s">
        <v>952</v>
      </c>
      <c r="D417" s="161" t="s">
        <v>953</v>
      </c>
      <c r="E417" s="95">
        <v>28004</v>
      </c>
      <c r="F417" s="96">
        <v>29405</v>
      </c>
      <c r="G417" s="119">
        <v>1.1299999999999999</v>
      </c>
      <c r="H417" s="107">
        <v>1</v>
      </c>
      <c r="I417" s="110">
        <v>1</v>
      </c>
      <c r="J417" s="108"/>
      <c r="K417" s="108"/>
      <c r="L417" s="63"/>
      <c r="M417" s="120">
        <v>1.4</v>
      </c>
      <c r="N417" s="120">
        <v>1.68</v>
      </c>
      <c r="O417" s="120">
        <v>2.23</v>
      </c>
      <c r="P417" s="121">
        <v>2.57</v>
      </c>
      <c r="Q417" s="204">
        <v>40</v>
      </c>
      <c r="R417" s="123">
        <f>(Q417/12*2*$E417*$G417*$H417*$M417*$R$11)+(Q417/12*10*$F417*$G417*$I417*$M417*$R$11)</f>
        <v>2030569.7719999999</v>
      </c>
      <c r="S417" s="124">
        <v>43</v>
      </c>
      <c r="T417" s="125">
        <f>(S417/12*2*$E417*$G417*$H417*$M417*$R$11)+(S417/12*10*$F417*$G417*$I417*$M417*$R$11)</f>
        <v>2182862.5048999996</v>
      </c>
      <c r="U417" s="123">
        <v>72</v>
      </c>
      <c r="V417" s="123">
        <f>(U417/12*2*$E417*$G417*$H417*$M417*$V$11)+(U417/12*10*$F417*$G417*$I417*$M417*$V$12)</f>
        <v>4456472.1683999998</v>
      </c>
      <c r="W417" s="123">
        <v>30</v>
      </c>
      <c r="X417" s="126">
        <f>(W417/12*2*$E417*$G417*$H417*$M417*$X$11)+(W417/12*10*$F417*$G417*$I417*$M417*$X$12)</f>
        <v>1856863.4034999995</v>
      </c>
      <c r="Y417" s="123">
        <f>90+50</f>
        <v>140</v>
      </c>
      <c r="Z417" s="123">
        <f>(Y417/12*2*$E417*$G417*$H417*$M417*$Z$11)+(Y417/12*10*$F417*$G417*$I417*$M417*$Z$12)</f>
        <v>8665362.5496666655</v>
      </c>
      <c r="AA417" s="123"/>
      <c r="AB417" s="123">
        <f>(AA417/12*2*$E417*$G417*$H417*$M417*$AB$11)+(AA417/12*10*$F417*$G417*$I417*$M417*$AB$11)</f>
        <v>0</v>
      </c>
      <c r="AC417" s="123"/>
      <c r="AD417" s="123"/>
      <c r="AE417" s="123">
        <v>34</v>
      </c>
      <c r="AF417" s="127">
        <f>(AE417/12*2*$E417*$G417*$H417*$M417*$AF$11)+(AE417/12*10*$F417*$G417*$I417*$M417*$AF$11)</f>
        <v>1725984.3062</v>
      </c>
      <c r="AG417" s="123">
        <f>70+7</f>
        <v>77</v>
      </c>
      <c r="AH417" s="126">
        <f>(AG417/12*2*$E417*$G417*$H417*$M417*$AH$11)+(AG417/12*10*$F417*$G417*$I417*$M417*$AH$11)</f>
        <v>3908846.8111</v>
      </c>
      <c r="AI417" s="130">
        <v>88</v>
      </c>
      <c r="AJ417" s="123">
        <f t="shared" si="538"/>
        <v>5245367.6865333319</v>
      </c>
      <c r="AK417" s="123">
        <v>20</v>
      </c>
      <c r="AL417" s="123">
        <f t="shared" si="539"/>
        <v>1430554.8236</v>
      </c>
      <c r="AM417" s="132">
        <v>40</v>
      </c>
      <c r="AN417" s="123">
        <f>(AM417/12*2*$E417*$G417*$H417*$N417*$AN$11)+(AM417/12*10*$F417*$G417*$I417*$N417*$AN$12)</f>
        <v>2970981.4455999997</v>
      </c>
      <c r="AO417" s="130">
        <v>1</v>
      </c>
      <c r="AP417" s="127">
        <f>(AO417/12*2*$E417*$G417*$H417*$N417*$AP$11)+(AO417/12*10*$F417*$G417*$I417*$N417*$AP$11)</f>
        <v>60917.093159999997</v>
      </c>
      <c r="AQ417" s="127">
        <v>0</v>
      </c>
      <c r="AR417" s="127">
        <v>0</v>
      </c>
      <c r="AS417" s="123"/>
      <c r="AT417" s="123"/>
      <c r="AU417" s="123"/>
      <c r="AV417" s="126"/>
      <c r="AW417" s="123">
        <v>10</v>
      </c>
      <c r="AX417" s="123">
        <f>(AW417/12*2*$E417*$G417*$H417*$M417*$AX$11)+(AW417/12*10*$F417*$G417*$I417*$M417*$AX$12)</f>
        <v>530532.40099999995</v>
      </c>
      <c r="AY417" s="123">
        <v>8</v>
      </c>
      <c r="AZ417" s="123">
        <f>(AY417/12*2*$E417*$G417*$H417*$N417*$AZ$11)+(AY417/12*10*$F417*$G417*$I417*$N417*$AZ$11)</f>
        <v>487336.74527999997</v>
      </c>
      <c r="BA417" s="123"/>
      <c r="BB417" s="123">
        <f>(BA417/12*2*$E417*$G417*$H417*$N417*$BB$11)+(BA417/12*10*$F417*$G417*$I417*$N417*$BB$12)</f>
        <v>0</v>
      </c>
      <c r="BC417" s="123"/>
      <c r="BD417" s="126"/>
      <c r="BE417" s="123">
        <v>12</v>
      </c>
      <c r="BF417" s="123">
        <f>(BE417/12*10*$F417*$G417*$I417*$N417*$BF$12)</f>
        <v>558224.5199999999</v>
      </c>
      <c r="BG417" s="123"/>
      <c r="BH417" s="123">
        <f>(BG417/12*2*$E417*$G417*$H417*$N417*$BH$11)+(BG417/12*10*$F417*$G417*$I417*$N417*$BH$11)</f>
        <v>0</v>
      </c>
      <c r="BI417" s="123"/>
      <c r="BJ417" s="126">
        <f>(BI417/12*2*$E417*$G417*$H417*$N417*$BJ$11)+(BI417/12*10*$F417*$G417*$I417*$N417*$BJ$11)</f>
        <v>0</v>
      </c>
      <c r="BK417" s="123">
        <v>7</v>
      </c>
      <c r="BL417" s="127">
        <f>(BK417/12*2*$E417*$G417*$H417*$N417*$BL$11)+(BK417/12*10*$F417*$G417*$I417*$N417*$BL$11)</f>
        <v>465185.07504000003</v>
      </c>
      <c r="BM417" s="123"/>
      <c r="BN417" s="123">
        <f>(BM417/12*2*$E417*$G417*$H417*$M417*$BN$11)+(BM417/12*10*$F417*$G417*$I417*$M417*$BN$11)</f>
        <v>0</v>
      </c>
      <c r="BO417" s="123"/>
      <c r="BP417" s="123">
        <f>(BO417/12*2*$E417*$G417*$H417*$M417*$BP$11)+(BO417/12*10*$F417*$G417*$I417*$M417*$BP$12)</f>
        <v>0</v>
      </c>
      <c r="BQ417" s="123">
        <v>2</v>
      </c>
      <c r="BR417" s="123">
        <f>(BQ417*$F417*$G417*$I417*$M417*$BR$11)</f>
        <v>93037.419999999984</v>
      </c>
      <c r="BS417" s="123">
        <v>7</v>
      </c>
      <c r="BT417" s="123">
        <f>(BS417/12*2*$E417*$G417*$H417*$N417*$BT$11)+(BS417/12*10*$F417*$G417*$I417*$N417*$BT$11)</f>
        <v>387654.22920000006</v>
      </c>
      <c r="BU417" s="123"/>
      <c r="BV417" s="126">
        <f>(BU417/12*2*$E417*$G417*$H417*$M417*$BV$11)+(BU417/12*10*$F417*$G417*$I417*$M417*$BV$11)</f>
        <v>0</v>
      </c>
      <c r="BW417" s="123"/>
      <c r="BX417" s="123">
        <f>(BW417/12*2*$E417*$G417*$H417*$M417*$BX$11)+(BW417/12*10*$F417*$G417*$I417*$M417*$BX$11)</f>
        <v>0</v>
      </c>
      <c r="BY417" s="123"/>
      <c r="BZ417" s="123">
        <f>(BY417/12*2*$E417*$G417*$H417*$M417*$BZ$11)+(BY417/12*10*$F417*$G417*$I417*$M417*$BZ$11)</f>
        <v>0</v>
      </c>
      <c r="CA417" s="123">
        <v>5</v>
      </c>
      <c r="CB417" s="123">
        <f>(CA417/12*2*$E417*$G417*$H417*$M417*$CB$11)+(CA417/12*10*$F417*$G417*$I417*$M417*$CB$11)</f>
        <v>276895.87799999997</v>
      </c>
      <c r="CC417" s="123"/>
      <c r="CD417" s="123">
        <f>(CC417/12*2*$E417*$G417*$H417*$M417*$CD$11)+(CC417/12*10*$F417*$G417*$I417*$M417*$CD$11)</f>
        <v>0</v>
      </c>
      <c r="CE417" s="123">
        <v>23</v>
      </c>
      <c r="CF417" s="123">
        <f>(CE417/12*10*$F417*$G417*$I417*$N417*$CF$11)</f>
        <v>1069930.3299999998</v>
      </c>
      <c r="CG417" s="132"/>
      <c r="CH417" s="123">
        <f>(CG417/12*2*$E417*$G417*$H417*$N417*$CH$11)+(CG417/12*10*$F417*$G417*$I417*$N417*$CH$11)</f>
        <v>0</v>
      </c>
      <c r="CI417" s="123"/>
      <c r="CJ417" s="127"/>
      <c r="CK417" s="123"/>
      <c r="CL417" s="123">
        <f>(CK417/12*2*$E417*$G417*$H417*$N417*$CL$11)+(CK417/12*10*$F417*$G417*$I417*$N417*$CL$12)</f>
        <v>0</v>
      </c>
      <c r="CM417" s="130"/>
      <c r="CN417" s="123">
        <f>(CM417/12*2*$E417*$G417*$H417*$N417*$CN$11)+(CM417/12*10*$F417*$G417*$I417*$N417*$CN$11)</f>
        <v>0</v>
      </c>
      <c r="CO417" s="123"/>
      <c r="CP417" s="123">
        <f>(CO417/12*2*$E417*$G417*$H417*$N417*$CP$11)+(CO417/12*10*$F417*$G417*$I417*$N417*$CP$11)</f>
        <v>0</v>
      </c>
      <c r="CQ417" s="123"/>
      <c r="CR417" s="123">
        <f>(CQ417/12*2*$E417*$G417*$H417*$O417*$CR$11)+(CQ417/12*10*$F417*$G417*$I417*$O417*$CR$11)</f>
        <v>0</v>
      </c>
      <c r="CS417" s="123"/>
      <c r="CT417" s="133">
        <f>(CS417/12*2*$E417*$G417*$H417*$P417*$CT$11)+(CS417/12*10*$F417*$G417*$I417*$P417*$CT$11)</f>
        <v>0</v>
      </c>
      <c r="CU417" s="127"/>
      <c r="CV417" s="123"/>
      <c r="CW417" s="126">
        <f t="shared" si="535"/>
        <v>659</v>
      </c>
      <c r="CX417" s="126">
        <f t="shared" si="535"/>
        <v>38403579.163179994</v>
      </c>
    </row>
    <row r="418" spans="1:102" ht="30" x14ac:dyDescent="0.25">
      <c r="A418" s="91"/>
      <c r="B418" s="116">
        <v>344</v>
      </c>
      <c r="C418" s="117" t="s">
        <v>954</v>
      </c>
      <c r="D418" s="161" t="s">
        <v>955</v>
      </c>
      <c r="E418" s="95">
        <v>28004</v>
      </c>
      <c r="F418" s="96">
        <v>29405</v>
      </c>
      <c r="G418" s="119">
        <v>1.19</v>
      </c>
      <c r="H418" s="107">
        <v>1</v>
      </c>
      <c r="I418" s="110">
        <v>1</v>
      </c>
      <c r="J418" s="108"/>
      <c r="K418" s="108"/>
      <c r="L418" s="63"/>
      <c r="M418" s="120">
        <v>1.4</v>
      </c>
      <c r="N418" s="120">
        <v>1.68</v>
      </c>
      <c r="O418" s="120">
        <v>2.23</v>
      </c>
      <c r="P418" s="121">
        <v>2.57</v>
      </c>
      <c r="Q418" s="204">
        <v>8</v>
      </c>
      <c r="R418" s="123">
        <f>(Q418/12*2*$E418*$G418*$H418*$M418*$R$11)+(Q418/12*10*$F418*$G418*$I418*$M418*$R$11)</f>
        <v>427677.52719999995</v>
      </c>
      <c r="S418" s="124">
        <v>21</v>
      </c>
      <c r="T418" s="125">
        <f>(S418/12*2*$E418*$G418*$H418*$M418*$R$11)+(S418/12*10*$F418*$G418*$I418*$M418*$R$11)</f>
        <v>1122653.5089</v>
      </c>
      <c r="U418" s="123">
        <v>134</v>
      </c>
      <c r="V418" s="123">
        <f>(U418/12*2*$E418*$G418*$H418*$M418*$V$11)+(U418/12*10*$F418*$G418*$I418*$M418*$V$12)</f>
        <v>8734378.7115666643</v>
      </c>
      <c r="W418" s="123">
        <v>14</v>
      </c>
      <c r="X418" s="126">
        <f>(W418/12*2*$E418*$G418*$H418*$M418*$X$11)+(W418/12*10*$F418*$G418*$I418*$M418*$X$12)</f>
        <v>912547.02956666669</v>
      </c>
      <c r="Y418" s="123">
        <v>14</v>
      </c>
      <c r="Z418" s="123">
        <f>(Y418*$F418*$G418*$I418*$M418*$Z$12)</f>
        <v>912170.15260000003</v>
      </c>
      <c r="AA418" s="123"/>
      <c r="AB418" s="123">
        <f>(AA418/12*2*$E418*$G418*$H418*$M418*$AB$11)+(AA418/12*10*$F418*$G418*$I418*$M418*$AB$11)</f>
        <v>0</v>
      </c>
      <c r="AC418" s="123"/>
      <c r="AD418" s="123"/>
      <c r="AE418" s="123">
        <f>25+1</f>
        <v>26</v>
      </c>
      <c r="AF418" s="127">
        <f>(AE418/12*2*$E418*$G418*$H418*$M418*$AF$11)+(AE418/12*10*$F418*$G418*$I418*$M418*$AF$11)</f>
        <v>1389951.9634</v>
      </c>
      <c r="AG418" s="123">
        <f>200-7-118</f>
        <v>75</v>
      </c>
      <c r="AH418" s="126">
        <f>(AG418/12*2*$E418*$G418*$H418*$M418*$AH$11)+(AG418/12*10*$F418*$G418*$I418*$M418*$AH$11)</f>
        <v>4009476.8175000004</v>
      </c>
      <c r="AI418" s="130">
        <v>46</v>
      </c>
      <c r="AJ418" s="123">
        <f t="shared" si="538"/>
        <v>2887484.1830333332</v>
      </c>
      <c r="AK418" s="123">
        <v>10</v>
      </c>
      <c r="AL418" s="123">
        <f t="shared" si="539"/>
        <v>753256.74340000004</v>
      </c>
      <c r="AM418" s="132">
        <v>7</v>
      </c>
      <c r="AN418" s="123">
        <f>(AM418/12*2*$E418*$G418*$H418*$N418*$AN$11)+(AM418/12*10*$F418*$G418*$I418*$N418*$AN$12)</f>
        <v>547528.21773999999</v>
      </c>
      <c r="AO418" s="130"/>
      <c r="AP418" s="127">
        <f>(AO418/12*2*$E418*$G418*$H418*$N418*$AP$11)+(AO418/12*10*$F418*$G418*$I418*$N418*$AP$11)</f>
        <v>0</v>
      </c>
      <c r="AQ418" s="127">
        <v>0</v>
      </c>
      <c r="AR418" s="127">
        <v>0</v>
      </c>
      <c r="AS418" s="123"/>
      <c r="AT418" s="123"/>
      <c r="AU418" s="123"/>
      <c r="AV418" s="126"/>
      <c r="AW418" s="123"/>
      <c r="AX418" s="123">
        <f>(AW418/12*2*$E418*$G418*$H418*$M418*$AX$11)+(AW418/12*10*$F418*$G418*$I418*$M418*$AX$12)</f>
        <v>0</v>
      </c>
      <c r="AY418" s="123">
        <v>21</v>
      </c>
      <c r="AZ418" s="123">
        <f>(AY418/12*2*$E418*$G418*$H418*$N418*$AZ$11)+(AY418/12*10*$F418*$G418*$I418*$N418*$AZ$11)</f>
        <v>1347184.21068</v>
      </c>
      <c r="BA418" s="123"/>
      <c r="BB418" s="123">
        <f>(BA418/12*2*$E418*$G418*$H418*$N418*$BB$11)+(BA418/12*10*$F418*$G418*$I418*$N418*$BB$12)</f>
        <v>0</v>
      </c>
      <c r="BC418" s="123"/>
      <c r="BD418" s="126"/>
      <c r="BE418" s="123"/>
      <c r="BF418" s="123">
        <f>(BE418/12*10*$F418*$G418*$I418*$N418*$BF$12)</f>
        <v>0</v>
      </c>
      <c r="BG418" s="123"/>
      <c r="BH418" s="123">
        <f>(BG418/12*2*$E418*$G418*$H418*$N418*$BH$11)+(BG418/12*10*$F418*$G418*$I418*$N418*$BH$11)</f>
        <v>0</v>
      </c>
      <c r="BI418" s="123"/>
      <c r="BJ418" s="126">
        <f>(BI418/12*2*$E418*$G418*$H418*$N418*$BJ$11)+(BI418/12*10*$F418*$G418*$I418*$N418*$BJ$11)</f>
        <v>0</v>
      </c>
      <c r="BK418" s="123">
        <v>1</v>
      </c>
      <c r="BL418" s="127">
        <f>(BK418/12*2*$E418*$G418*$H418*$N418*$BL$11)+(BK418/12*10*$F418*$G418*$I418*$N418*$BL$11)</f>
        <v>69983.595359999992</v>
      </c>
      <c r="BM418" s="123"/>
      <c r="BN418" s="123">
        <f>(BM418/12*2*$E418*$G418*$H418*$M418*$BN$11)+(BM418/12*10*$F418*$G418*$I418*$M418*$BN$11)</f>
        <v>0</v>
      </c>
      <c r="BO418" s="123"/>
      <c r="BP418" s="123">
        <f>(BO418/12*2*$E418*$G418*$H418*$M418*$BP$11)+(BO418/12*10*$F418*$G418*$I418*$M418*$BP$12)</f>
        <v>0</v>
      </c>
      <c r="BQ418" s="123"/>
      <c r="BR418" s="123">
        <f>(BQ418/12*2*$E418*$G418*$H418*$M418*$BR$11)+(BQ418/12*10*$F418*$G418*$I418*$M418*$BR$11)</f>
        <v>0</v>
      </c>
      <c r="BS418" s="123">
        <v>5</v>
      </c>
      <c r="BT418" s="123">
        <f>(BS418/12*2*$E418*$G418*$H418*$N418*$BT$11)+(BS418/12*10*$F418*$G418*$I418*$N418*$BT$11)</f>
        <v>291598.31400000001</v>
      </c>
      <c r="BU418" s="123"/>
      <c r="BV418" s="126">
        <f>(BU418/12*2*$E418*$G418*$H418*$M418*$BV$11)+(BU418/12*10*$F418*$G418*$I418*$M418*$BV$11)</f>
        <v>0</v>
      </c>
      <c r="BW418" s="123"/>
      <c r="BX418" s="123">
        <f>(BW418/12*2*$E418*$G418*$H418*$M418*$BX$11)+(BW418/12*10*$F418*$G418*$I418*$M418*$BX$11)</f>
        <v>0</v>
      </c>
      <c r="BY418" s="123"/>
      <c r="BZ418" s="123">
        <f>(BY418/12*2*$E418*$G418*$H418*$M418*$BZ$11)+(BY418/12*10*$F418*$G418*$I418*$M418*$BZ$11)</f>
        <v>0</v>
      </c>
      <c r="CA418" s="123">
        <v>1</v>
      </c>
      <c r="CB418" s="123">
        <f>(CA418/12*2*$E418*$G418*$H418*$M418*$CB$11)+(CA418/12*10*$F418*$G418*$I418*$M418*$CB$11)</f>
        <v>58319.662799999984</v>
      </c>
      <c r="CC418" s="123"/>
      <c r="CD418" s="123">
        <f>(CC418/12*2*$E418*$G418*$H418*$M418*$CD$11)+(CC418/12*10*$F418*$G418*$I418*$M418*$CD$11)</f>
        <v>0</v>
      </c>
      <c r="CE418" s="123">
        <v>14</v>
      </c>
      <c r="CF418" s="123">
        <f>(CE418/12*10*$F418*$G418*$I418*$N418*$CF$11)</f>
        <v>685842.22</v>
      </c>
      <c r="CG418" s="132"/>
      <c r="CH418" s="123">
        <f>(CG418/12*2*$E418*$G418*$H418*$N418*$CH$11)+(CG418/12*10*$F418*$G418*$I418*$N418*$CH$11)</f>
        <v>0</v>
      </c>
      <c r="CI418" s="123"/>
      <c r="CJ418" s="127"/>
      <c r="CK418" s="123"/>
      <c r="CL418" s="123">
        <f>(CK418/12*2*$E418*$G418*$H418*$N418*$CL$11)+(CK418/12*10*$F418*$G418*$I418*$N418*$CL$12)</f>
        <v>0</v>
      </c>
      <c r="CM418" s="130"/>
      <c r="CN418" s="123">
        <f>(CM418/12*2*$E418*$G418*$H418*$N418*$CN$11)+(CM418/12*10*$F418*$G418*$I418*$N418*$CN$11)</f>
        <v>0</v>
      </c>
      <c r="CO418" s="123"/>
      <c r="CP418" s="123">
        <f>(CO418/12*2*$E418*$G418*$H418*$N418*$CP$11)+(CO418/12*10*$F418*$G418*$I418*$N418*$CP$11)</f>
        <v>0</v>
      </c>
      <c r="CQ418" s="123"/>
      <c r="CR418" s="123">
        <f>(CQ418/12*2*$E418*$G418*$H418*$O418*$CR$11)+(CQ418/12*10*$F418*$G418*$I418*$O418*$CR$11)</f>
        <v>0</v>
      </c>
      <c r="CS418" s="123"/>
      <c r="CT418" s="133">
        <f>(CS418/12*2*$E418*$G418*$H418*$P418*$CT$11)+(CS418/12*10*$F418*$G418*$I418*$P418*$CT$11)</f>
        <v>0</v>
      </c>
      <c r="CU418" s="127"/>
      <c r="CV418" s="123"/>
      <c r="CW418" s="126">
        <f t="shared" si="535"/>
        <v>397</v>
      </c>
      <c r="CX418" s="126">
        <f t="shared" si="535"/>
        <v>24150052.857746661</v>
      </c>
    </row>
    <row r="419" spans="1:102" ht="30" customHeight="1" x14ac:dyDescent="0.25">
      <c r="A419" s="91"/>
      <c r="B419" s="116">
        <v>345</v>
      </c>
      <c r="C419" s="117" t="s">
        <v>956</v>
      </c>
      <c r="D419" s="161" t="s">
        <v>957</v>
      </c>
      <c r="E419" s="95">
        <v>28004</v>
      </c>
      <c r="F419" s="96">
        <v>29405</v>
      </c>
      <c r="G419" s="119">
        <v>2.13</v>
      </c>
      <c r="H419" s="107">
        <v>1</v>
      </c>
      <c r="I419" s="110">
        <v>1</v>
      </c>
      <c r="J419" s="108"/>
      <c r="K419" s="108"/>
      <c r="L419" s="63"/>
      <c r="M419" s="120">
        <v>1.4</v>
      </c>
      <c r="N419" s="120">
        <v>1.68</v>
      </c>
      <c r="O419" s="120">
        <v>2.23</v>
      </c>
      <c r="P419" s="121">
        <v>2.57</v>
      </c>
      <c r="Q419" s="122">
        <v>4</v>
      </c>
      <c r="R419" s="123">
        <f>(Q419/12*2*$E419*$G419*$H419*$M419*$R$11)+(Q419/12*10*$F419*$G419*$I419*$M419*$R$11)</f>
        <v>382753.41719999997</v>
      </c>
      <c r="S419" s="124">
        <v>5</v>
      </c>
      <c r="T419" s="125">
        <f>(S419/12*2*$E419*$G419*$H419*$M419*$R$11)+(S419/12*10*$F419*$G419*$I419*$M419*$R$11)</f>
        <v>478441.77150000003</v>
      </c>
      <c r="U419" s="123">
        <v>20</v>
      </c>
      <c r="V419" s="123">
        <f>(U419/12*2*$E419*$G419*$H419*$M419*$V$11)+(U419/12*10*$F419*$G419*$I419*$M419*$V$12)</f>
        <v>2333403.5690000001</v>
      </c>
      <c r="W419" s="123">
        <v>1</v>
      </c>
      <c r="X419" s="126">
        <f>(W419/12*2*$E419*$G419*$H419*$M419*$X$11)+(W419/12*10*$F419*$G419*$I419*$M419*$X$12)</f>
        <v>116670.17844999999</v>
      </c>
      <c r="Y419" s="123">
        <v>5</v>
      </c>
      <c r="Z419" s="123">
        <f>(Y419/12*2*$E419*$G419*$H419*$M419*$Z$11)+(Y419/12*10*$F419*$G419*$I419*$M419*$Z$12)</f>
        <v>583350.89225000003</v>
      </c>
      <c r="AA419" s="123"/>
      <c r="AB419" s="123">
        <f>(AA419/12*2*$E419*$G419*$H419*$M419*$AB$11)+(AA419/12*10*$F419*$G419*$I419*$M419*$AB$11)</f>
        <v>0</v>
      </c>
      <c r="AC419" s="123"/>
      <c r="AD419" s="123"/>
      <c r="AE419" s="123"/>
      <c r="AF419" s="127">
        <f>(AE419/12*2*$E419*$G419*$H419*$M419*$AF$11)+(AE419/12*10*$F419*$G419*$I419*$M419*$AF$11)</f>
        <v>0</v>
      </c>
      <c r="AG419" s="123">
        <v>10</v>
      </c>
      <c r="AH419" s="126">
        <f>(AG419/12*2*$E419*$G419*$H419*$M419*$AH$11)+(AG419/12*10*$F419*$G419*$I419*$M419*$AH$11)</f>
        <v>956883.54300000006</v>
      </c>
      <c r="AI419" s="130">
        <v>25</v>
      </c>
      <c r="AJ419" s="123">
        <f t="shared" si="538"/>
        <v>2808888.0662500001</v>
      </c>
      <c r="AK419" s="123">
        <v>1</v>
      </c>
      <c r="AL419" s="123">
        <f t="shared" si="539"/>
        <v>134826.62717999995</v>
      </c>
      <c r="AM419" s="132"/>
      <c r="AN419" s="123">
        <f>(AM419/12*2*$E419*$G419*$H419*$N419*$AN$11)+(AM419/12*10*$F419*$G419*$I419*$N419*$AN$12)</f>
        <v>0</v>
      </c>
      <c r="AO419" s="130">
        <v>1</v>
      </c>
      <c r="AP419" s="127">
        <f>(AO419/12*2*$E419*$G419*$H419*$N419*$AP$11)+(AO419/12*10*$F419*$G419*$I419*$N419*$AP$11)</f>
        <v>114826.02515999999</v>
      </c>
      <c r="AQ419" s="127">
        <v>0</v>
      </c>
      <c r="AR419" s="127">
        <v>0</v>
      </c>
      <c r="AS419" s="123"/>
      <c r="AT419" s="123"/>
      <c r="AU419" s="123"/>
      <c r="AV419" s="126"/>
      <c r="AW419" s="123"/>
      <c r="AX419" s="123">
        <f>(AW419/12*2*$E419*$G419*$H419*$M419*$AX$11)+(AW419/12*10*$F419*$G419*$I419*$M419*$AX$12)</f>
        <v>0</v>
      </c>
      <c r="AY419" s="123">
        <v>0</v>
      </c>
      <c r="AZ419" s="123">
        <f>(AY419/12*2*$E419*$G419*$H419*$N419*$AZ$11)+(AY419/12*10*$F419*$G419*$I419*$N419*$AZ$11)</f>
        <v>0</v>
      </c>
      <c r="BA419" s="123"/>
      <c r="BB419" s="123">
        <f>(BA419/12*2*$E419*$G419*$H419*$N419*$BB$11)+(BA419/12*10*$F419*$G419*$I419*$N419*$BB$12)</f>
        <v>0</v>
      </c>
      <c r="BC419" s="123"/>
      <c r="BD419" s="126"/>
      <c r="BE419" s="123"/>
      <c r="BF419" s="123">
        <f>(BE419/12*10*$F419*$G419*$I419*$N419*$BF$12)</f>
        <v>0</v>
      </c>
      <c r="BG419" s="123"/>
      <c r="BH419" s="123">
        <f>(BG419/12*2*$E419*$G419*$H419*$N419*$BH$11)+(BG419/12*10*$F419*$G419*$I419*$N419*$BH$11)</f>
        <v>0</v>
      </c>
      <c r="BI419" s="123">
        <v>1</v>
      </c>
      <c r="BJ419" s="126">
        <f>(BI419/12*2*$E419*$G419*$H419*$N419*$BJ$11)+(BI419/12*10*$F419*$G419*$I419*$N419*$BJ$11)</f>
        <v>125264.75471999997</v>
      </c>
      <c r="BK419" s="123"/>
      <c r="BL419" s="127">
        <f>(BK419/12*2*$E419*$G419*$H419*$N419*$BL$11)+(BK419/12*10*$F419*$G419*$I419*$N419*$BL$11)</f>
        <v>0</v>
      </c>
      <c r="BM419" s="123"/>
      <c r="BN419" s="123">
        <f>(BM419/12*2*$E419*$G419*$H419*$M419*$BN$11)+(BM419/12*10*$F419*$G419*$I419*$M419*$BN$11)</f>
        <v>0</v>
      </c>
      <c r="BO419" s="123"/>
      <c r="BP419" s="123">
        <f>(BO419/12*2*$E419*$G419*$H419*$M419*$BP$11)+(BO419/12*10*$F419*$G419*$I419*$M419*$BP$12)</f>
        <v>0</v>
      </c>
      <c r="BQ419" s="123"/>
      <c r="BR419" s="123">
        <f>(BQ419/12*2*$E419*$G419*$H419*$M419*$BR$11)+(BQ419/12*10*$F419*$G419*$I419*$M419*$BR$11)</f>
        <v>0</v>
      </c>
      <c r="BS419" s="123">
        <v>1</v>
      </c>
      <c r="BT419" s="123">
        <f>(BS419/12*2*$E419*$G419*$H419*$N419*$BT$11)+(BS419/12*10*$F419*$G419*$I419*$N419*$BT$11)</f>
        <v>104387.29559999997</v>
      </c>
      <c r="BU419" s="123"/>
      <c r="BV419" s="126">
        <f>(BU419/12*2*$E419*$G419*$H419*$M419*$BV$11)+(BU419/12*10*$F419*$G419*$I419*$M419*$BV$11)</f>
        <v>0</v>
      </c>
      <c r="BW419" s="123"/>
      <c r="BX419" s="123">
        <f>(BW419/12*2*$E419*$G419*$H419*$M419*$BX$11)+(BW419/12*10*$F419*$G419*$I419*$M419*$BX$11)</f>
        <v>0</v>
      </c>
      <c r="BY419" s="123"/>
      <c r="BZ419" s="123">
        <f>(BY419/12*2*$E419*$G419*$H419*$M419*$BZ$11)+(BY419/12*10*$F419*$G419*$I419*$M419*$BZ$11)</f>
        <v>0</v>
      </c>
      <c r="CA419" s="123">
        <v>1</v>
      </c>
      <c r="CB419" s="123">
        <f>(CA419/12*2*$E419*$G419*$H419*$M419*$CB$11)+(CA419/12*10*$F419*$G419*$I419*$M419*$CB$11)</f>
        <v>104387.29559999997</v>
      </c>
      <c r="CC419" s="123"/>
      <c r="CD419" s="123">
        <f>(CC419/12*2*$E419*$G419*$H419*$M419*$CD$11)+(CC419/12*10*$F419*$G419*$I419*$M419*$CD$11)</f>
        <v>0</v>
      </c>
      <c r="CE419" s="123"/>
      <c r="CF419" s="123">
        <f>(CE419/12*10*$F419*$G419*$I419*$N419*$CF$11)</f>
        <v>0</v>
      </c>
      <c r="CG419" s="132"/>
      <c r="CH419" s="123">
        <f>(CG419/12*2*$E419*$G419*$H419*$N419*$CH$11)+(CG419/12*10*$F419*$G419*$I419*$N419*$CH$11)</f>
        <v>0</v>
      </c>
      <c r="CI419" s="123"/>
      <c r="CJ419" s="127"/>
      <c r="CK419" s="123"/>
      <c r="CL419" s="123">
        <f>(CK419/12*2*$E419*$G419*$H419*$N419*$CL$11)+(CK419/12*10*$F419*$G419*$I419*$N419*$CL$12)</f>
        <v>0</v>
      </c>
      <c r="CM419" s="130"/>
      <c r="CN419" s="123">
        <f>(CM419/12*2*$E419*$G419*$H419*$N419*$CN$11)+(CM419/12*10*$F419*$G419*$I419*$N419*$CN$11)</f>
        <v>0</v>
      </c>
      <c r="CO419" s="123"/>
      <c r="CP419" s="123">
        <f>(CO419/12*2*$E419*$G419*$H419*$N419*$CP$11)+(CO419/12*10*$F419*$G419*$I419*$N419*$CP$11)</f>
        <v>0</v>
      </c>
      <c r="CQ419" s="123"/>
      <c r="CR419" s="123">
        <f>(CQ419/12*2*$E419*$G419*$H419*$O419*$CR$11)+(CQ419/12*10*$F419*$G419*$I419*$O419*$CR$11)</f>
        <v>0</v>
      </c>
      <c r="CS419" s="123"/>
      <c r="CT419" s="133">
        <f>(CS419/12*2*$E419*$G419*$H419*$P419*$CT$11)+(CS419/12*10*$F419*$G419*$I419*$P419*$CT$11)</f>
        <v>0</v>
      </c>
      <c r="CU419" s="127"/>
      <c r="CV419" s="123"/>
      <c r="CW419" s="126">
        <f t="shared" si="535"/>
        <v>75</v>
      </c>
      <c r="CX419" s="126">
        <f t="shared" si="535"/>
        <v>8244083.4359099995</v>
      </c>
    </row>
    <row r="420" spans="1:102" ht="30" customHeight="1" x14ac:dyDescent="0.25">
      <c r="A420" s="91"/>
      <c r="B420" s="116">
        <v>346</v>
      </c>
      <c r="C420" s="202" t="s">
        <v>958</v>
      </c>
      <c r="D420" s="148" t="s">
        <v>959</v>
      </c>
      <c r="E420" s="95">
        <v>28004</v>
      </c>
      <c r="F420" s="96">
        <v>29405</v>
      </c>
      <c r="G420" s="149">
        <v>2.36</v>
      </c>
      <c r="H420" s="107">
        <v>1</v>
      </c>
      <c r="I420" s="108"/>
      <c r="J420" s="108"/>
      <c r="K420" s="108"/>
      <c r="L420" s="165">
        <v>0.34649999999999997</v>
      </c>
      <c r="M420" s="120">
        <v>1.4</v>
      </c>
      <c r="N420" s="120">
        <v>1.68</v>
      </c>
      <c r="O420" s="120">
        <v>2.23</v>
      </c>
      <c r="P420" s="121">
        <v>2.57</v>
      </c>
      <c r="Q420" s="122">
        <v>59</v>
      </c>
      <c r="R420" s="143">
        <f>(Q420/12*2*$E420*$G420*((1-$L420)+$L420*$M420*$R$11*$H420))+(Q420/12*10*$F420*$G420*((1-$L420)+$L420*$M420*$R$11*$H420))</f>
        <v>4821850.4787825998</v>
      </c>
      <c r="S420" s="124">
        <v>13</v>
      </c>
      <c r="T420" s="144">
        <f>(S420/12*2*$E420*$G420*((1-$L420)+$L420*$M420*$R$11*$H420))+(S420/12*10*$F420*$G420*((1-$L420)+$L420*$M420*$R$11*$H420))</f>
        <v>1062441.6309181997</v>
      </c>
      <c r="U420" s="123"/>
      <c r="V420" s="143">
        <f>(U420/12*2*$E420*$G420*((1-$L420)+$L420*$M420*V$11*$H420))+(U420/12*10*$F420*$G420*((1-$L420)+$L420*$M420*V$12*$H420))</f>
        <v>0</v>
      </c>
      <c r="W420" s="123"/>
      <c r="X420" s="143">
        <f>(W420/12*2*$E420*$G420*((1-$L420)+$L420*$M420*$X$11*$H420))+(W420/12*10*$F420*$G420*((1-$L420)+$L420*$M420*$X$12*$H420))</f>
        <v>0</v>
      </c>
      <c r="Y420" s="123"/>
      <c r="Z420" s="143">
        <f>(Y420/12*2*$E420*$G420*((1-$L420)+$L420*$M420*$Z$11*$H420))+(Y420/12*10*$F420*$G420*((1-$L420)+$L420*$M420*$Z$12*$H420))</f>
        <v>0</v>
      </c>
      <c r="AA420" s="123"/>
      <c r="AB420" s="143">
        <f>(AA420/12*2*$E420*$G420*((1-$L420)+$L420*$M420*$AB$11*$H420))+(AA420/12*10*$F420*$G420*((1-$L420)+$L420*$M420*$AB$11*$H420))</f>
        <v>0</v>
      </c>
      <c r="AC420" s="123"/>
      <c r="AD420" s="123"/>
      <c r="AE420" s="123">
        <v>4</v>
      </c>
      <c r="AF420" s="143">
        <f>(AE420/12*2*$E420*$G420*((1-$L420)+$L420*$M420*AF$11*$H420))+(AE420/12*10*$F420*$G420*((1-$L420)+$L420*$M420*AF$11*$H420))</f>
        <v>326905.1172055999</v>
      </c>
      <c r="AG420" s="135">
        <v>0</v>
      </c>
      <c r="AH420" s="145">
        <f>(AG420/12*2*$E420*$G420*((1-$L420)+$L420*$H420*AH$11*$M420))+(AG420/12*10*$F420*$G420*((1-$L420)+$L420*$H420*AH$11*$M420))</f>
        <v>0</v>
      </c>
      <c r="AI420" s="123">
        <v>50</v>
      </c>
      <c r="AJ420" s="143">
        <f t="shared" ref="AJ420:AJ421" si="540">(AI420/12*2*$E420*$G420*((1-$L420)+$L420*$H420*AJ$11*$M420))+(AI420/12*5*$F420*$G420*((1-$L420)+$L420*$H420*AJ$12*$M420))+(AI420/12*5*$F420*$G420*((1-$L420)+$L420*$H420*AJ$13*$M420))</f>
        <v>4406253.172735</v>
      </c>
      <c r="AK420" s="123"/>
      <c r="AL420" s="143">
        <f t="shared" ref="AL420:AL421" si="541">(AK420/12*2*$E420*$G420*((1-$L420)+$L420*$H420*AL$11*$N420))+(AK420/12*4*$F420*$G420*((1-$L420)+$L420*$H420*AL$12*$N420))+(AK420/12*6*$F420*$G420*((1-$L420)+$L420*$H420*AL$13*$N420))</f>
        <v>0</v>
      </c>
      <c r="AM420" s="132"/>
      <c r="AN420" s="143">
        <f>(AM420/12*2*$E420*$G420*((1-$L420)+$L420*$N420*$AN$11*H420))+(AM420/12*10*$F420*$G420*((1-$L420)+$L420*$N420*$AN$12*H420))</f>
        <v>0</v>
      </c>
      <c r="AO420" s="130"/>
      <c r="AP420" s="143">
        <f>(AO420/12*2*$E420*$G420*((1-$L420)+$L420*$H420*AP$11*$N420))+(AO420/12*10*$F420*$G420*((1-$L420)+$L420*$H420*AP$11*$N420))</f>
        <v>0</v>
      </c>
      <c r="AQ420" s="143">
        <v>0</v>
      </c>
      <c r="AR420" s="143">
        <v>0</v>
      </c>
      <c r="AS420" s="123"/>
      <c r="AT420" s="123"/>
      <c r="AU420" s="123"/>
      <c r="AV420" s="126"/>
      <c r="AW420" s="123"/>
      <c r="AX420" s="143">
        <f>(AW420/12*2*$E420*$G420*((1-$L420)+$L420*$H420*AX$11*$M420))+(AW420/12*10*$F420*$G420*((1-$L420)+$L420*$H420*AX$12*$M420))</f>
        <v>0</v>
      </c>
      <c r="AY420" s="131"/>
      <c r="AZ420" s="143">
        <f>(AY420/12*2*$E420*$G420*((1-$L420)+$L420*$N420*$H420*$AZ$11))+(AY420/12*10*$F420*$G420*((1-$L420)+$L420*$N420*$H420*$AZ$11))</f>
        <v>0</v>
      </c>
      <c r="BA420" s="123"/>
      <c r="BB420" s="143">
        <f>(BA420/12*2*$E420*$G420*((1-$L420)+$L420*$H420*BB$11*$N420))+(BA420/12*10*$F420*$G420*((1-$L420)+$L420*$H420*BB$12*$N420))</f>
        <v>0</v>
      </c>
      <c r="BC420" s="123"/>
      <c r="BD420" s="146">
        <f>(BC420/12*2*$E420*$G420*$H420*$N420*$BD$11)+(BC420/12*10*$F420*$G420*$H420*$N420*$BD$12)</f>
        <v>0</v>
      </c>
      <c r="BE420" s="123"/>
      <c r="BF420" s="143">
        <f>(BE420/12*2*$E420*$G420*((1-$L420)+$L420*$H420*BF$11*$N420))+(BE420/12*10*$F420*$G420*((1-$L420)+$L420*$H420*BF$12*$N420))</f>
        <v>0</v>
      </c>
      <c r="BG420" s="123"/>
      <c r="BH420" s="143">
        <f>(BG420/12*2*$E420*$G420*((1-$L420)+$L420*$H420*BH$11*$N420))+(BG420/12*10*$F420*$G420*((1-$L420)+$L420*$H420*BH$11*$N420))</f>
        <v>0</v>
      </c>
      <c r="BI420" s="123"/>
      <c r="BJ420" s="143">
        <f>(BI420/12*2*$E420*$G420*((1-$L420)+$L420*$H420*BJ$11*$N420))+(BI420/12*10*$F420*$G420*((1-$L420)+$L420*$H420*BJ$11*$N420))</f>
        <v>0</v>
      </c>
      <c r="BK420" s="123"/>
      <c r="BL420" s="143">
        <f>(BK420/12*2*$E420*$G420*((1-$L420)+$L420*$H420*BL$11*$N420))+(BK420/12*10*$F420*$G420*((1-$L420)+$L420*$H420*BL$11*$N420))</f>
        <v>0</v>
      </c>
      <c r="BM420" s="123"/>
      <c r="BN420" s="143">
        <f>(BM420/12*2*$E420*$G420*((1-$L420)+$L420*$H420*BN$11*$M420))+(BM420/12*10*$F420*$G420*((1-$L420)+$L420*$H420*BN$11*$M420))</f>
        <v>0</v>
      </c>
      <c r="BO420" s="123"/>
      <c r="BP420" s="143">
        <f>(BO420/12*2*$E420*$G420*((1-$L420)+$L420*$H420*BP$11*$M420))+(BO420/12*10*$F420*$G420*((1-$L420)+$L420*$H420*BP$12*$M420))</f>
        <v>0</v>
      </c>
      <c r="BQ420" s="123">
        <v>6</v>
      </c>
      <c r="BR420" s="143">
        <f>(BQ420/12*2*$E420*$G420*((1-$L420)+$L420*$H420*$M420))+(BQ420/12*10*$F420*$G420*((1-$L420)+$L420*$H420*$M420))</f>
        <v>470319.72578399995</v>
      </c>
      <c r="BS420" s="123"/>
      <c r="BT420" s="143">
        <f>(BS420/12*2*$E420*$G420*((1-$L420)+$L420*$H420*BT$11*$N420))+(BS420/12*10*$F420*$G420*((1-$L420)+$L420*$H420*BT$11*$N420))</f>
        <v>0</v>
      </c>
      <c r="BU420" s="123"/>
      <c r="BV420" s="126"/>
      <c r="BW420" s="123"/>
      <c r="BX420" s="143">
        <f>(BW420/12*2*$E420*$G420*((1-$L420)+$L420*$H420*BX$11*$M420))+(BW420/12*10*$F420*$G420*((1-$L420)+$L420*$H420*BX$11*$M420))</f>
        <v>0</v>
      </c>
      <c r="BY420" s="123"/>
      <c r="BZ420" s="143">
        <f>(BY420/12*2*$E420*$G420*((1-$L420)+$L420*$H420*BZ$11*$M420))+(BY420/12*10*$F420*$G420*((1-$L420)+$L420*$H420*BZ$11*$M420))</f>
        <v>0</v>
      </c>
      <c r="CA420" s="123"/>
      <c r="CB420" s="143">
        <f>(CA420/12*2*$E420*$G420*((1-$L420)+$L420*$H420*CB$11*$M420))+(CA420/12*10*$F420*$G420*((1-$L420)+$L420*$H420*CB$11*$M420))</f>
        <v>0</v>
      </c>
      <c r="CC420" s="123"/>
      <c r="CD420" s="146">
        <f>(CC420/12*2*$E420*$G420*((1-$L420)+$L420*$M420*$CD$11*$H420))+(CC420/12*10*$F420*$G420*((1-$L420)+$L420*$M420*$CD$11*$H420))</f>
        <v>0</v>
      </c>
      <c r="CE420" s="123"/>
      <c r="CF420" s="143">
        <f>(CE420/12*10*$F420*$G420*((1-$L420)+$L420*$H420*CF$11*$N420))</f>
        <v>0</v>
      </c>
      <c r="CG420" s="132"/>
      <c r="CH420" s="143">
        <f>(CG420/12*2*$E420*$G420*((1-$L420)+$L420*$H420*CH$11*$N420))+(CG420/12*10*$F420*$G420*((1-$L420)+$L420*$H420*CH$11*$N420))</f>
        <v>0</v>
      </c>
      <c r="CI420" s="123"/>
      <c r="CJ420" s="127"/>
      <c r="CK420" s="123"/>
      <c r="CL420" s="123"/>
      <c r="CM420" s="130"/>
      <c r="CN420" s="143">
        <f>((CM420/12*2*$E420*$G420*((1-$L420)+$L420*$H420*CN$11*$N420)))+((CM420/12*10*$F420*$G420*((1-$L420)+$L420*$H420*CN$11*$N420)))</f>
        <v>0</v>
      </c>
      <c r="CO420" s="123"/>
      <c r="CP420" s="143">
        <f>(CO420/12*2*$E420*$G420*((1-$L420)+$L420*$H420*CP$11*$N420))+(CO420/12*10*$F420*$G420*((1-$L420)+$L420*$H420*CP$11*$N420))</f>
        <v>0</v>
      </c>
      <c r="CQ420" s="123"/>
      <c r="CR420" s="143">
        <f>(CQ420/12*2*$E420*$G420*((1-$L420)+$L420*$H420*CR$11*$O420))+(CQ420/12*10*$F420*$G420*((1-$L420)+$L420*$H420*CR$11*$O420))</f>
        <v>0</v>
      </c>
      <c r="CS420" s="123"/>
      <c r="CT420" s="143">
        <f>(CS420/12*2*$E420*$G420*((1-$L420)+$L420*$H420*CT$11*$P420))+(CS420/12*10*$F420*$G420*((1-$L420)+$L420*$H420*CT$11*$P420))</f>
        <v>0</v>
      </c>
      <c r="CU420" s="127"/>
      <c r="CV420" s="127"/>
      <c r="CW420" s="126">
        <f t="shared" si="535"/>
        <v>132</v>
      </c>
      <c r="CX420" s="126">
        <f t="shared" si="535"/>
        <v>11087770.125425398</v>
      </c>
    </row>
    <row r="421" spans="1:102" ht="30" customHeight="1" x14ac:dyDescent="0.25">
      <c r="A421" s="91"/>
      <c r="B421" s="116">
        <v>347</v>
      </c>
      <c r="C421" s="202" t="s">
        <v>960</v>
      </c>
      <c r="D421" s="148" t="s">
        <v>961</v>
      </c>
      <c r="E421" s="95">
        <v>28004</v>
      </c>
      <c r="F421" s="96">
        <v>29405</v>
      </c>
      <c r="G421" s="149">
        <v>2.69</v>
      </c>
      <c r="H421" s="107">
        <v>1</v>
      </c>
      <c r="I421" s="108"/>
      <c r="J421" s="108"/>
      <c r="K421" s="108"/>
      <c r="L421" s="165">
        <v>0.38579999999999998</v>
      </c>
      <c r="M421" s="120">
        <v>1.4</v>
      </c>
      <c r="N421" s="120">
        <v>1.68</v>
      </c>
      <c r="O421" s="120">
        <v>2.23</v>
      </c>
      <c r="P421" s="121">
        <v>2.57</v>
      </c>
      <c r="Q421" s="122">
        <v>300</v>
      </c>
      <c r="R421" s="143">
        <f>(Q421/12*2*$E421*$G421*((1-$L421)+$L421*$M421*$R$11*$H421))+(Q421/12*10*$F421*$G421*((1-$L421)+$L421*$M421*$R$11*$H421))</f>
        <v>28445827.548965998</v>
      </c>
      <c r="S421" s="124">
        <v>58</v>
      </c>
      <c r="T421" s="144">
        <f>(S421/12*2*$E421*$G421*((1-$L421)+$L421*$M421*$R$11*$H421))+(S421/12*10*$F421*$G421*((1-$L421)+$L421*$M421*$R$11*$H421))</f>
        <v>5499526.6594667593</v>
      </c>
      <c r="U421" s="123"/>
      <c r="V421" s="143">
        <f>(U421/12*2*$E421*$G421*((1-$L421)+$L421*$M421*V$11*$H421))+(U421/12*10*$F421*$G421*((1-$L421)+$L421*$M421*V$12*$H421))</f>
        <v>0</v>
      </c>
      <c r="W421" s="123"/>
      <c r="X421" s="143">
        <f>(W421/12*2*$E421*$G421*((1-$L421)+$L421*$M421*$X$11*$H421))+(W421/12*10*$F421*$G421*((1-$L421)+$L421*$M421*$X$12*$H421))</f>
        <v>0</v>
      </c>
      <c r="Y421" s="123">
        <v>4</v>
      </c>
      <c r="Z421" s="143">
        <f>(Y421/12*2*$E421*$G421*((1-$L421)+$L421*$M421*$Z$11*$H421))+(Y421/12*10*$F421*$G421*((1-$L421)+$L421*$M421*$Z$12*$H421))</f>
        <v>420169.68012052</v>
      </c>
      <c r="AA421" s="123"/>
      <c r="AB421" s="143">
        <f>(AA421/12*2*$E421*$G421*((1-$L421)+$L421*$M421*$AB$11*$H421))+(AA421/12*10*$F421*$G421*((1-$L421)+$L421*$M421*$AB$11*$H421))</f>
        <v>0</v>
      </c>
      <c r="AC421" s="123"/>
      <c r="AD421" s="123"/>
      <c r="AE421" s="123">
        <v>2</v>
      </c>
      <c r="AF421" s="143">
        <f>(AE421/12*2*$E421*$G421*((1-$L421)+$L421*$M421*AF$11*$H421))+(AE421/12*10*$F421*$G421*((1-$L421)+$L421*$M421*AF$11*$H421))</f>
        <v>189638.85032643998</v>
      </c>
      <c r="AG421" s="123">
        <v>0</v>
      </c>
      <c r="AH421" s="143">
        <f>(AG421/12*2*$E421*$G421*((1-$L421)+$L421*$H421*AH$11*$M421))+(AG421/12*10*$F421*$G421*((1-$L421)+$L421*$H421*AH$11*$M421))</f>
        <v>0</v>
      </c>
      <c r="AI421" s="123">
        <v>225</v>
      </c>
      <c r="AJ421" s="143">
        <f t="shared" si="540"/>
        <v>23161541.856932249</v>
      </c>
      <c r="AK421" s="123"/>
      <c r="AL421" s="143">
        <f t="shared" si="541"/>
        <v>0</v>
      </c>
      <c r="AM421" s="132">
        <v>9</v>
      </c>
      <c r="AN421" s="143">
        <f>(AM421/12*2*$E421*$G421*((1-$L421)+$L421*$N421*$AN$11*H421))+(AM421/12*10*$F421*$G421*((1-$L421)+$L421*$N421*$AN$12*H421))</f>
        <v>1047703.367202804</v>
      </c>
      <c r="AO421" s="130"/>
      <c r="AP421" s="143">
        <f>(AO421/12*2*$E421*$G421*((1-$L421)+$L421*$H421*AP$11*$N421))+(AO421/12*10*$F421*$G421*((1-$L421)+$L421*$H421*AP$11*$N421))</f>
        <v>0</v>
      </c>
      <c r="AQ421" s="143">
        <v>10</v>
      </c>
      <c r="AR421" s="143">
        <v>1044773.35</v>
      </c>
      <c r="AS421" s="123"/>
      <c r="AT421" s="123"/>
      <c r="AU421" s="123"/>
      <c r="AV421" s="126"/>
      <c r="AW421" s="123"/>
      <c r="AX421" s="143">
        <f>(AW421/12*2*$E421*$G421*((1-$L421)+$L421*$H421*AX$11*$M421))+(AW421/12*10*$F421*$G421*((1-$L421)+$L421*$H421*AX$12*$M421))</f>
        <v>0</v>
      </c>
      <c r="AY421" s="131"/>
      <c r="AZ421" s="143">
        <f>(AY421/12*2*$E421*$G421*((1-$L421)+$L421*$N421*$H421*$AZ$11))+(AY421/12*10*$F421*$G421*((1-$L421)+$L421*$N421*$H421*$AZ$11))</f>
        <v>0</v>
      </c>
      <c r="BA421" s="123"/>
      <c r="BB421" s="143">
        <f>(BA421/12*2*$E421*$G421*((1-$L421)+$L421*$H421*BB$11*$N421))+(BA421/12*10*$F421*$G421*((1-$L421)+$L421*$H421*BB$12*$N421))</f>
        <v>0</v>
      </c>
      <c r="BC421" s="123"/>
      <c r="BD421" s="146">
        <f>(BC421/12*2*$E421*$G421*$H421*$N421*$BD$11)+(BC421/12*10*$F421*$G421*$H421*$N421*$BD$12)</f>
        <v>0</v>
      </c>
      <c r="BE421" s="123"/>
      <c r="BF421" s="143">
        <f>(BE421/12*2*$E421*$G421*((1-$L421)+$L421*$H421*BF$11*$N421))+(BE421/12*10*$F421*$G421*((1-$L421)+$L421*$H421*BF$12*$N421))</f>
        <v>0</v>
      </c>
      <c r="BG421" s="123"/>
      <c r="BH421" s="143">
        <f>(BG421/12*2*$E421*$G421*((1-$L421)+$L421*$H421*BH$11*$N421))+(BG421/12*10*$F421*$G421*((1-$L421)+$L421*$H421*BH$11*$N421))</f>
        <v>0</v>
      </c>
      <c r="BI421" s="123"/>
      <c r="BJ421" s="143">
        <f>(BI421/12*2*$E421*$G421*((1-$L421)+$L421*$H421*BJ$11*$N421))+(BI421/12*10*$F421*$G421*((1-$L421)+$L421*$H421*BJ$11*$N421))</f>
        <v>0</v>
      </c>
      <c r="BK421" s="123"/>
      <c r="BL421" s="143">
        <f>(BK421/12*2*$E421*$G421*((1-$L421)+$L421*$H421*BL$11*$N421))+(BK421/12*10*$F421*$G421*((1-$L421)+$L421*$H421*BL$11*$N421))</f>
        <v>0</v>
      </c>
      <c r="BM421" s="123"/>
      <c r="BN421" s="143">
        <f>(BM421/12*2*$E421*$G421*((1-$L421)+$L421*$H421*BN$11*$M421))+(BM421/12*10*$F421*$G421*((1-$L421)+$L421*$H421*BN$11*$M421))</f>
        <v>0</v>
      </c>
      <c r="BO421" s="123"/>
      <c r="BP421" s="143">
        <f>(BO421/12*2*$E421*$G421*((1-$L421)+$L421*$H421*BP$11*$M421))+(BO421/12*10*$F421*$G421*((1-$L421)+$L421*$H421*BP$12*$M421))</f>
        <v>0</v>
      </c>
      <c r="BQ421" s="123">
        <v>30</v>
      </c>
      <c r="BR421" s="143">
        <f>(BQ421/12*2*$E421*$G421*((1-$L421)+$L421*$H421*$M421))+(BQ421/12*10*$F421*$G421*((1-$L421)+$L421*$H421*$M421))</f>
        <v>2717430.942516</v>
      </c>
      <c r="BS421" s="123"/>
      <c r="BT421" s="143">
        <f>(BS421/12*2*$E421*$G421*((1-$L421)+$L421*$H421*BT$11*$N421))+(BS421/12*10*$F421*$G421*((1-$L421)+$L421*$H421*BT$11*$N421))</f>
        <v>0</v>
      </c>
      <c r="BU421" s="123"/>
      <c r="BV421" s="126"/>
      <c r="BW421" s="123"/>
      <c r="BX421" s="143">
        <f>(BW421/12*2*$E421*$G421*((1-$L421)+$L421*$H421*BX$11*$M421))+(BW421/12*10*$F421*$G421*((1-$L421)+$L421*$H421*BX$11*$M421))</f>
        <v>0</v>
      </c>
      <c r="BY421" s="123"/>
      <c r="BZ421" s="143">
        <f>(BY421/12*2*$E421*$G421*((1-$L421)+$L421*$H421*BZ$11*$M421))+(BY421/12*10*$F421*$G421*((1-$L421)+$L421*$H421*BZ$11*$M421))</f>
        <v>0</v>
      </c>
      <c r="CA421" s="123"/>
      <c r="CB421" s="143">
        <f>(CA421/12*2*$E421*$G421*((1-$L421)+$L421*$H421*CB$11*$M421))+(CA421/12*10*$F421*$G421*((1-$L421)+$L421*$H421*CB$11*$M421))</f>
        <v>0</v>
      </c>
      <c r="CC421" s="123"/>
      <c r="CD421" s="146">
        <f>(CC421/12*2*$E421*$G421*((1-$L421)+$L421*$M421*$CD$11*$H421))+(CC421/12*10*$F421*$G421*((1-$L421)+$L421*$M421*$CD$11*$H421))</f>
        <v>0</v>
      </c>
      <c r="CE421" s="123"/>
      <c r="CF421" s="143">
        <f>(CE421/12*10*$F421*$G421*((1-$L421)+$L421*$H421*CF$11*$N421))</f>
        <v>0</v>
      </c>
      <c r="CG421" s="132"/>
      <c r="CH421" s="143">
        <f>(CG421/12*2*$E421*$G421*((1-$L421)+$L421*$H421*CH$11*$N421))+(CG421/12*10*$F421*$G421*((1-$L421)+$L421*$H421*CH$11*$N421))</f>
        <v>0</v>
      </c>
      <c r="CI421" s="123"/>
      <c r="CJ421" s="127"/>
      <c r="CK421" s="123"/>
      <c r="CL421" s="123"/>
      <c r="CM421" s="130"/>
      <c r="CN421" s="143">
        <f>((CM421/12*2*$E421*$G421*((1-$L421)+$L421*$H421*CN$11*$N421)))+((CM421/12*10*$F421*$G421*((1-$L421)+$L421*$H421*CN$11*$N421)))</f>
        <v>0</v>
      </c>
      <c r="CO421" s="123"/>
      <c r="CP421" s="143">
        <f>(CO421/12*2*$E421*$G421*((1-$L421)+$L421*$H421*CP$11*$N421))+(CO421/12*10*$F421*$G421*((1-$L421)+$L421*$H421*CP$11*$N421))</f>
        <v>0</v>
      </c>
      <c r="CQ421" s="123"/>
      <c r="CR421" s="143">
        <f>(CQ421/12*2*$E421*$G421*((1-$L421)+$L421*$H421*CR$11*$O421))+(CQ421/12*10*$F421*$G421*((1-$L421)+$L421*$H421*CR$11*$O421))</f>
        <v>0</v>
      </c>
      <c r="CS421" s="123"/>
      <c r="CT421" s="143">
        <f>(CS421/12*2*$E421*$G421*((1-$L421)+$L421*$H421*CT$11*$P421))+(CS421/12*10*$F421*$G421*((1-$L421)+$L421*$H421*CT$11*$P421))</f>
        <v>0</v>
      </c>
      <c r="CU421" s="127"/>
      <c r="CV421" s="127"/>
      <c r="CW421" s="126">
        <f t="shared" si="535"/>
        <v>638</v>
      </c>
      <c r="CX421" s="126">
        <f t="shared" si="535"/>
        <v>62526612.255530767</v>
      </c>
    </row>
    <row r="422" spans="1:102" ht="15.75" customHeight="1" x14ac:dyDescent="0.25">
      <c r="A422" s="109">
        <v>33</v>
      </c>
      <c r="B422" s="150"/>
      <c r="C422" s="93" t="s">
        <v>962</v>
      </c>
      <c r="D422" s="164" t="s">
        <v>963</v>
      </c>
      <c r="E422" s="95">
        <v>28004</v>
      </c>
      <c r="F422" s="96">
        <v>29405</v>
      </c>
      <c r="G422" s="151">
        <v>1.95</v>
      </c>
      <c r="H422" s="110"/>
      <c r="I422" s="108"/>
      <c r="J422" s="108"/>
      <c r="K422" s="108"/>
      <c r="L422" s="111"/>
      <c r="M422" s="112">
        <v>1.4</v>
      </c>
      <c r="N422" s="112">
        <v>1.68</v>
      </c>
      <c r="O422" s="112">
        <v>2.23</v>
      </c>
      <c r="P422" s="113">
        <v>2.57</v>
      </c>
      <c r="Q422" s="103">
        <f>SUM(Q423:Q430)</f>
        <v>8</v>
      </c>
      <c r="R422" s="104">
        <f>SUM(R423:R430)</f>
        <v>730196.48394000018</v>
      </c>
      <c r="S422" s="114">
        <f t="shared" ref="S422:CD422" si="542">SUM(S423:S430)</f>
        <v>294</v>
      </c>
      <c r="T422" s="115">
        <f t="shared" si="542"/>
        <v>38697242.722214997</v>
      </c>
      <c r="U422" s="104">
        <f t="shared" si="542"/>
        <v>0</v>
      </c>
      <c r="V422" s="104">
        <f t="shared" si="542"/>
        <v>0</v>
      </c>
      <c r="W422" s="104">
        <f t="shared" si="542"/>
        <v>0</v>
      </c>
      <c r="X422" s="104">
        <f t="shared" si="542"/>
        <v>0</v>
      </c>
      <c r="Y422" s="104">
        <f t="shared" si="542"/>
        <v>0</v>
      </c>
      <c r="Z422" s="104">
        <f t="shared" si="542"/>
        <v>0</v>
      </c>
      <c r="AA422" s="104">
        <f t="shared" si="542"/>
        <v>0</v>
      </c>
      <c r="AB422" s="104">
        <f t="shared" si="542"/>
        <v>0</v>
      </c>
      <c r="AC422" s="104">
        <f t="shared" si="542"/>
        <v>0</v>
      </c>
      <c r="AD422" s="104">
        <f t="shared" si="542"/>
        <v>0</v>
      </c>
      <c r="AE422" s="104">
        <f t="shared" si="542"/>
        <v>2</v>
      </c>
      <c r="AF422" s="105">
        <f t="shared" si="542"/>
        <v>94610.175659999994</v>
      </c>
      <c r="AG422" s="104">
        <f t="shared" si="542"/>
        <v>20</v>
      </c>
      <c r="AH422" s="104">
        <f t="shared" si="542"/>
        <v>2001369.1004999999</v>
      </c>
      <c r="AI422" s="106">
        <f t="shared" si="542"/>
        <v>81</v>
      </c>
      <c r="AJ422" s="104">
        <f t="shared" si="542"/>
        <v>10529294.944454998</v>
      </c>
      <c r="AK422" s="104">
        <f t="shared" si="542"/>
        <v>37</v>
      </c>
      <c r="AL422" s="104">
        <f t="shared" si="542"/>
        <v>2800406.0155259999</v>
      </c>
      <c r="AM422" s="104">
        <f t="shared" si="542"/>
        <v>0</v>
      </c>
      <c r="AN422" s="104">
        <f t="shared" si="542"/>
        <v>0</v>
      </c>
      <c r="AO422" s="106">
        <f t="shared" si="542"/>
        <v>0</v>
      </c>
      <c r="AP422" s="104">
        <f t="shared" si="542"/>
        <v>0</v>
      </c>
      <c r="AQ422" s="104">
        <v>2</v>
      </c>
      <c r="AR422" s="104">
        <v>141898.58000000002</v>
      </c>
      <c r="AS422" s="104">
        <f t="shared" si="542"/>
        <v>0</v>
      </c>
      <c r="AT422" s="104">
        <f t="shared" si="542"/>
        <v>0</v>
      </c>
      <c r="AU422" s="104">
        <f t="shared" si="542"/>
        <v>0</v>
      </c>
      <c r="AV422" s="104">
        <f t="shared" si="542"/>
        <v>0</v>
      </c>
      <c r="AW422" s="104">
        <f t="shared" si="542"/>
        <v>32</v>
      </c>
      <c r="AX422" s="104">
        <f t="shared" si="542"/>
        <v>3028926.0418549995</v>
      </c>
      <c r="AY422" s="104">
        <f t="shared" si="542"/>
        <v>102</v>
      </c>
      <c r="AZ422" s="104">
        <f t="shared" si="542"/>
        <v>16261346.728704002</v>
      </c>
      <c r="BA422" s="104">
        <f t="shared" si="542"/>
        <v>0</v>
      </c>
      <c r="BB422" s="104">
        <f t="shared" si="542"/>
        <v>0</v>
      </c>
      <c r="BC422" s="104">
        <f t="shared" si="542"/>
        <v>0</v>
      </c>
      <c r="BD422" s="104">
        <f t="shared" si="542"/>
        <v>0</v>
      </c>
      <c r="BE422" s="104">
        <f t="shared" si="542"/>
        <v>22</v>
      </c>
      <c r="BF422" s="104">
        <f t="shared" si="542"/>
        <v>1476063.3684999999</v>
      </c>
      <c r="BG422" s="104">
        <f t="shared" si="542"/>
        <v>2</v>
      </c>
      <c r="BH422" s="104">
        <f t="shared" si="542"/>
        <v>85391.748288000003</v>
      </c>
      <c r="BI422" s="104">
        <f t="shared" si="542"/>
        <v>14</v>
      </c>
      <c r="BJ422" s="104">
        <f t="shared" si="542"/>
        <v>1426106.8871279999</v>
      </c>
      <c r="BK422" s="104">
        <f t="shared" si="542"/>
        <v>9</v>
      </c>
      <c r="BL422" s="104">
        <f t="shared" si="542"/>
        <v>2611836.8206559997</v>
      </c>
      <c r="BM422" s="104">
        <f t="shared" si="542"/>
        <v>0</v>
      </c>
      <c r="BN422" s="104">
        <f t="shared" si="542"/>
        <v>0</v>
      </c>
      <c r="BO422" s="104">
        <f t="shared" si="542"/>
        <v>0</v>
      </c>
      <c r="BP422" s="104">
        <f t="shared" si="542"/>
        <v>0</v>
      </c>
      <c r="BQ422" s="104">
        <f t="shared" si="542"/>
        <v>0</v>
      </c>
      <c r="BR422" s="104">
        <f t="shared" si="542"/>
        <v>0</v>
      </c>
      <c r="BS422" s="104">
        <f t="shared" si="542"/>
        <v>17</v>
      </c>
      <c r="BT422" s="104">
        <f t="shared" si="542"/>
        <v>1669863.3811999999</v>
      </c>
      <c r="BU422" s="104">
        <f t="shared" si="542"/>
        <v>0</v>
      </c>
      <c r="BV422" s="104">
        <f t="shared" si="542"/>
        <v>0</v>
      </c>
      <c r="BW422" s="104">
        <f t="shared" si="542"/>
        <v>0</v>
      </c>
      <c r="BX422" s="104">
        <f t="shared" si="542"/>
        <v>0</v>
      </c>
      <c r="BY422" s="104">
        <f t="shared" si="542"/>
        <v>28</v>
      </c>
      <c r="BZ422" s="104">
        <f t="shared" si="542"/>
        <v>1808971.3894000002</v>
      </c>
      <c r="CA422" s="104">
        <f t="shared" si="542"/>
        <v>54</v>
      </c>
      <c r="CB422" s="104">
        <f t="shared" si="542"/>
        <v>6341651.47126</v>
      </c>
      <c r="CC422" s="104">
        <f t="shared" si="542"/>
        <v>41</v>
      </c>
      <c r="CD422" s="104">
        <f t="shared" si="542"/>
        <v>3366552.0692999996</v>
      </c>
      <c r="CE422" s="104">
        <f t="shared" ref="CE422:CX422" si="543">SUM(CE423:CE430)</f>
        <v>18</v>
      </c>
      <c r="CF422" s="104">
        <f t="shared" si="543"/>
        <v>2052113.1994999996</v>
      </c>
      <c r="CG422" s="104">
        <f t="shared" si="543"/>
        <v>0</v>
      </c>
      <c r="CH422" s="104">
        <f t="shared" si="543"/>
        <v>0</v>
      </c>
      <c r="CI422" s="104">
        <f t="shared" si="543"/>
        <v>0</v>
      </c>
      <c r="CJ422" s="104">
        <f t="shared" si="543"/>
        <v>0</v>
      </c>
      <c r="CK422" s="104">
        <f t="shared" si="543"/>
        <v>0</v>
      </c>
      <c r="CL422" s="104">
        <f t="shared" si="543"/>
        <v>0</v>
      </c>
      <c r="CM422" s="104">
        <f t="shared" si="543"/>
        <v>2</v>
      </c>
      <c r="CN422" s="104">
        <f t="shared" si="543"/>
        <v>132003.37121999997</v>
      </c>
      <c r="CO422" s="104">
        <f t="shared" si="543"/>
        <v>2</v>
      </c>
      <c r="CP422" s="104">
        <f t="shared" si="543"/>
        <v>47819.59</v>
      </c>
      <c r="CQ422" s="104">
        <f t="shared" si="543"/>
        <v>2</v>
      </c>
      <c r="CR422" s="104">
        <f t="shared" si="543"/>
        <v>131470.99134499999</v>
      </c>
      <c r="CS422" s="104">
        <f t="shared" si="543"/>
        <v>11</v>
      </c>
      <c r="CT422" s="104">
        <f t="shared" si="543"/>
        <v>1543497.9039399999</v>
      </c>
      <c r="CU422" s="104">
        <f t="shared" si="543"/>
        <v>0</v>
      </c>
      <c r="CV422" s="104">
        <f t="shared" si="543"/>
        <v>0</v>
      </c>
      <c r="CW422" s="104">
        <f t="shared" si="543"/>
        <v>800</v>
      </c>
      <c r="CX422" s="104">
        <f t="shared" si="543"/>
        <v>96978632.984592006</v>
      </c>
    </row>
    <row r="423" spans="1:102" ht="18.75" x14ac:dyDescent="0.25">
      <c r="A423" s="91"/>
      <c r="B423" s="116">
        <v>348</v>
      </c>
      <c r="C423" s="117" t="s">
        <v>964</v>
      </c>
      <c r="D423" s="161" t="s">
        <v>965</v>
      </c>
      <c r="E423" s="95">
        <v>28004</v>
      </c>
      <c r="F423" s="96">
        <v>29405</v>
      </c>
      <c r="G423" s="119">
        <v>1.17</v>
      </c>
      <c r="H423" s="110">
        <v>0.9</v>
      </c>
      <c r="I423" s="110"/>
      <c r="J423" s="108"/>
      <c r="K423" s="108"/>
      <c r="L423" s="63"/>
      <c r="M423" s="120">
        <v>1.4</v>
      </c>
      <c r="N423" s="120">
        <v>1.68</v>
      </c>
      <c r="O423" s="120">
        <v>2.23</v>
      </c>
      <c r="P423" s="121">
        <v>2.57</v>
      </c>
      <c r="Q423" s="122">
        <v>3</v>
      </c>
      <c r="R423" s="123">
        <f>(Q423/12*2*$E423*$G423*$H423*$M423*$R$11)+(Q423/12*10*$F423*$G423*$H423*$M423*$R$11)</f>
        <v>141915.26349000001</v>
      </c>
      <c r="S423" s="124">
        <v>4</v>
      </c>
      <c r="T423" s="125">
        <f>(S423/12*2*$E423*$G423*$H423*$M423*$R$11)+(S423/12*10*$F423*$G423*$H423*$M423*$R$11)</f>
        <v>189220.35131999999</v>
      </c>
      <c r="U423" s="123"/>
      <c r="V423" s="123">
        <f>(U423/12*2*$E423*$G423*$H423*$M423*$V$11)+(U423/12*10*$F423*$G423*$H423*$M423*$V$12)</f>
        <v>0</v>
      </c>
      <c r="W423" s="123"/>
      <c r="X423" s="126">
        <f>(W423/12*2*$E423*$G423*$H423*$M423*$X$11)+(W423/12*10*$F423*$G423*$H423*$M423*$X$12)</f>
        <v>0</v>
      </c>
      <c r="Y423" s="123"/>
      <c r="Z423" s="123">
        <f>(Y423/12*2*$E423*$G423*$H423*$M423*$Z$11)+(Y423/12*10*$F423*$G423*$H423*$M423*$Z$12)</f>
        <v>0</v>
      </c>
      <c r="AA423" s="123"/>
      <c r="AB423" s="123">
        <f>(AA423/12*2*$E423*$G423*$H423*$M423*$AB$11)+(AA423/12*10*$F423*$G423*$H423*$M423*$AB$11)</f>
        <v>0</v>
      </c>
      <c r="AC423" s="123"/>
      <c r="AD423" s="123"/>
      <c r="AE423" s="123">
        <v>2</v>
      </c>
      <c r="AF423" s="127">
        <f>(AE423/12*2*$E423*$G423*$H423*$M423*$AF$11)+(AE423/12*10*$F423*$G423*$H423*$M423*$AF$11)</f>
        <v>94610.175659999994</v>
      </c>
      <c r="AG423" s="123">
        <v>5</v>
      </c>
      <c r="AH423" s="126">
        <f>(AG423/12*2*$E423*$G423*$H423*$M423*$AH$11)+(AG423/12*10*$F423*$G423*$H423*$M423*$AH$11)</f>
        <v>236525.43915000002</v>
      </c>
      <c r="AI423" s="130">
        <v>8</v>
      </c>
      <c r="AJ423" s="123">
        <f t="shared" ref="AJ423:AJ426" si="544">(AI423/12*2*$E423*$G423*$H423*$M423*$AJ$11)+(AI423/12*5*$F423*$G423*$H423*$M423*$AJ$12)+(AI423/12*5*$F423*$G423*$H423*$M423*$AJ$13)</f>
        <v>444358.17971999996</v>
      </c>
      <c r="AK423" s="123">
        <v>2</v>
      </c>
      <c r="AL423" s="123">
        <f t="shared" ref="AL423:AL426" si="545">(AK423/12*2*$E423*$G423*$H423*$N423*$AL$11)+(AK423/12*5*$F423*$G423*$H423*$N423*$AL$12)++(AK423/12*5*$F423*$G423*$H423*$N423*$AL$13)</f>
        <v>133307.45391599997</v>
      </c>
      <c r="AM423" s="132"/>
      <c r="AN423" s="123">
        <f>(AM423/12*2*$E423*$G423*$H423*$N423*$AN$11)+(AM423/12*10*$F423*$G423*$H423*$N423*$AN$12)</f>
        <v>0</v>
      </c>
      <c r="AO423" s="130"/>
      <c r="AP423" s="127">
        <f>(AO423/12*2*$E423*$G423*$H423*$N423*$AP$11)+(AO423/12*10*$F423*$G423*$H423*$N423*$AP$11)</f>
        <v>0</v>
      </c>
      <c r="AQ423" s="127">
        <v>0</v>
      </c>
      <c r="AR423" s="127">
        <v>0</v>
      </c>
      <c r="AS423" s="123"/>
      <c r="AT423" s="123">
        <f>(AS423/12*2*$E423*$G423*$H423*$M423*$AT$11)+(AS423/12*10*$F423*$G423*$H423*$M423*$AT$11)</f>
        <v>0</v>
      </c>
      <c r="AU423" s="123"/>
      <c r="AV423" s="126">
        <f>(AU423/12*2*$E423*$G423*$H423*$M423*$AV$11)+(AU423/12*10*$F423*$G423*$H423*$M423*$AV$12)</f>
        <v>0</v>
      </c>
      <c r="AW423" s="123">
        <v>5</v>
      </c>
      <c r="AX423" s="123">
        <f>(AW423/12*2*$E423*$G423*$H423*$M423*$AX$11)+(AW423/12*10*$F423*$G423*$H423*$M423*$AX$12)</f>
        <v>247190.53904999996</v>
      </c>
      <c r="AY423" s="123">
        <v>0</v>
      </c>
      <c r="AZ423" s="123">
        <f>(AY423/12*2*$E423*$G423*$H423*$N423*$AZ$11)+(AY423/12*10*$F423*$G423*$H423*$N423*$AZ$11)</f>
        <v>0</v>
      </c>
      <c r="BA423" s="123"/>
      <c r="BB423" s="123">
        <f>(BA423/12*2*$E423*$G423*$H423*$N423*$BB$11)+(BA423/12*10*$F423*$G423*$H423*$N423*$BB$12)</f>
        <v>0</v>
      </c>
      <c r="BC423" s="123"/>
      <c r="BD423" s="126">
        <f>(BC423/12*2*$E423*$G423*$H423*$N423*$BD$11)+(BC423/12*10*$F423*$G423*$H423*$N423*$BD$12)</f>
        <v>0</v>
      </c>
      <c r="BE423" s="123">
        <v>4</v>
      </c>
      <c r="BF423" s="123">
        <f>(BE423/12*10*$F423*$G423*$H423*$N423*$BF$12)</f>
        <v>173395.40399999998</v>
      </c>
      <c r="BG423" s="123"/>
      <c r="BH423" s="123">
        <f>(BG423/12*2*$E423*$G423*$H423*$N423*$BH$11)+(BG423/12*10*$F423*$G423*$H423*$N423*$BH$11)</f>
        <v>0</v>
      </c>
      <c r="BI423" s="123">
        <v>2</v>
      </c>
      <c r="BJ423" s="126">
        <f>(BI423/12*2*$E423*$G423*$H423*$N423*$BJ$11)+(BI423/12*10*$F423*$G423*$H423*$N423*$BJ$11)</f>
        <v>123853.32086399999</v>
      </c>
      <c r="BK423" s="123">
        <v>1</v>
      </c>
      <c r="BL423" s="127">
        <f>(BK423/12*2*$E423*$G423*$H423*$N423*$BL$11)+(BK423/12*10*$F423*$G423*$H423*$N423*$BL$11)</f>
        <v>61926.660431999997</v>
      </c>
      <c r="BM423" s="123"/>
      <c r="BN423" s="123">
        <f>(BM423/12*2*$E423*$G423*$H423*$M423*$BN$11)+(BM423/12*10*$F423*$G423*$H423*$M423*$BN$11)</f>
        <v>0</v>
      </c>
      <c r="BO423" s="123"/>
      <c r="BP423" s="123">
        <f>(BO423/12*2*$E423*$G423*$H423*$M423*$BP$11)+(BO423/12*10*$F423*$G423*$H423*$M423*$BP$12)</f>
        <v>0</v>
      </c>
      <c r="BQ423" s="123"/>
      <c r="BR423" s="123">
        <f>(BQ423/12*2*$E423*$G423*$H423*$M423*$BR$11)+(BQ423/12*10*$F423*$G423*$H423*$M423*$BR$11)</f>
        <v>0</v>
      </c>
      <c r="BS423" s="123">
        <v>4</v>
      </c>
      <c r="BT423" s="123">
        <f>(BS423/12*2*$E423*$G423*$H423*$N423*$BT$11)+(BS423/12*10*$F423*$G423*$H423*$N423*$BT$11)</f>
        <v>206422.20143999998</v>
      </c>
      <c r="BU423" s="123"/>
      <c r="BV423" s="126">
        <f>(BU423/12*2*$E423*$G423*$H423*$M423*$BV$11)+(BU423/12*10*$F423*$G423*$H423*$M423*$BV$11)</f>
        <v>0</v>
      </c>
      <c r="BW423" s="123"/>
      <c r="BX423" s="123">
        <f>(BW423/12*2*$E423*$G423*$H423*$M423*$BX$11)+(BW423/12*10*$F423*$G423*$H423*$M423*$BX$11)</f>
        <v>0</v>
      </c>
      <c r="BY423" s="123">
        <v>8</v>
      </c>
      <c r="BZ423" s="123">
        <f>(BY423/12*2*$E423*$G423*$H423*$M423*$BZ$11)+(BY423/12*10*$F423*$G423*$H423*$M423*$BZ$11)</f>
        <v>344037.0024</v>
      </c>
      <c r="CA423" s="123">
        <v>9</v>
      </c>
      <c r="CB423" s="123">
        <f>(CA423/12*2*$E423*$G423*$H423*$M423*$CB$11)+(CA423/12*10*$F423*$G423*$H423*$M423*$CB$11)</f>
        <v>464449.95323999994</v>
      </c>
      <c r="CC423" s="123">
        <v>2</v>
      </c>
      <c r="CD423" s="123">
        <f>(CC423/12*2*$E423*$G423*$H423*$M423*$CD$11)+(CC423/12*10*$F423*$G423*$H423*$M423*$CD$11)</f>
        <v>86009.250599999999</v>
      </c>
      <c r="CE423" s="123">
        <v>5</v>
      </c>
      <c r="CF423" s="123">
        <f>(CE423/12*10*$F423*$G423*$H423*$N423*$CF$11)</f>
        <v>216744.255</v>
      </c>
      <c r="CG423" s="132"/>
      <c r="CH423" s="123">
        <f>(CG423/12*2*$E423*$G423*$H423*$N423*$CH$11)+(CG423/12*10*$F423*$G423*$H423*$N423*$CH$11)</f>
        <v>0</v>
      </c>
      <c r="CI423" s="123"/>
      <c r="CJ423" s="127"/>
      <c r="CK423" s="123"/>
      <c r="CL423" s="123">
        <f>(CK423/12*2*$E423*$G423*$H423*$N423*$CL$11)+(CK423/12*10*$F423*$G423*$H423*$N423*$CL$12)</f>
        <v>0</v>
      </c>
      <c r="CM423" s="130"/>
      <c r="CN423" s="123">
        <f>(CM423/12*2*$E423*$G423*$H423*$N423*$CN$11)+(CM423/12*10*$F423*$G423*$H423*$N423*$CN$11)</f>
        <v>0</v>
      </c>
      <c r="CO423" s="123"/>
      <c r="CP423" s="123">
        <f>(CO423/12*2*$E423*$G423*$H423*$N423*$CP$11)+(CO423/12*10*$F423*$G423*$H423*$N423*$CP$11)</f>
        <v>0</v>
      </c>
      <c r="CQ423" s="123">
        <v>1</v>
      </c>
      <c r="CR423" s="123">
        <f>(CQ423/12*2*$E423*$G423*$H423*$O423*$CR$11)+(CQ423/12*10*$F423*$G423*$H423*$O423*$CR$11)</f>
        <v>68500.224584999989</v>
      </c>
      <c r="CS423" s="123">
        <v>2</v>
      </c>
      <c r="CT423" s="133">
        <f>(CS423/12*2*$E423*$G423*$H423*$P423*$CT$11)+(CS423/12*10*$F423*$G423*$H423*$P423*$CT$11)</f>
        <v>157888.41002999997</v>
      </c>
      <c r="CU423" s="127"/>
      <c r="CV423" s="123">
        <f>(CU423*$E423*$G423*$H423*$M423*CV$11)/12*6+(CU423*$E423*$G423*$H423*1*CV$11)/12*6</f>
        <v>0</v>
      </c>
      <c r="CW423" s="126">
        <f t="shared" ref="CW423:CX430" si="546">SUM(Q423,S423,U423,W423,Y423,AA423,AC423,AE423,AG423,AM423,BQ423,AI423,AU423,CC423,AW423,AY423,AK423,BC423,AO423,AQ423,BE423,CE423,BG423,BI423,BK423,BS423,BM423,BO423,BU423,BW423,BY423,CA423,CG423,BA423,AS423,CI423,CK423,CM423,CO423,CQ423,CS423,CU423)</f>
        <v>67</v>
      </c>
      <c r="CX423" s="126">
        <f t="shared" si="546"/>
        <v>3390354.0848969999</v>
      </c>
    </row>
    <row r="424" spans="1:102" ht="18.75" x14ac:dyDescent="0.25">
      <c r="A424" s="91"/>
      <c r="B424" s="116">
        <v>349</v>
      </c>
      <c r="C424" s="117" t="s">
        <v>966</v>
      </c>
      <c r="D424" s="161" t="s">
        <v>967</v>
      </c>
      <c r="E424" s="95">
        <v>28004</v>
      </c>
      <c r="F424" s="96">
        <v>29405</v>
      </c>
      <c r="G424" s="119">
        <v>2.91</v>
      </c>
      <c r="H424" s="110">
        <v>0.9</v>
      </c>
      <c r="I424" s="110"/>
      <c r="J424" s="203"/>
      <c r="K424" s="203"/>
      <c r="L424" s="63"/>
      <c r="M424" s="120">
        <v>1.4</v>
      </c>
      <c r="N424" s="120">
        <v>1.68</v>
      </c>
      <c r="O424" s="120">
        <v>2.23</v>
      </c>
      <c r="P424" s="121">
        <v>2.57</v>
      </c>
      <c r="Q424" s="122">
        <v>5</v>
      </c>
      <c r="R424" s="123">
        <f>(Q424/12*2*$E424*$G424*$H424*$M424*$R$11)+(Q424/12*10*$F424*$G424*$H424*$M424*$R$11)</f>
        <v>588281.22045000014</v>
      </c>
      <c r="S424" s="124">
        <v>3</v>
      </c>
      <c r="T424" s="125">
        <f>(S424/12*2*$E424*$G424*$H424*$M424*$R$11)+(S424/12*10*$F424*$G424*$H424*$M424*$R$11)</f>
        <v>352968.73227000004</v>
      </c>
      <c r="U424" s="123"/>
      <c r="V424" s="123">
        <f>(U424/12*2*$E424*$G424*$H424*$M424*$V$11)+(U424/12*10*$F424*$G424*$H424*$M424*$V$12)</f>
        <v>0</v>
      </c>
      <c r="W424" s="123"/>
      <c r="X424" s="126">
        <f>(W424/12*2*$E424*$G424*$H424*$M424*$X$11)+(W424/12*10*$F424*$G424*$H424*$M424*$X$12)</f>
        <v>0</v>
      </c>
      <c r="Y424" s="123"/>
      <c r="Z424" s="123">
        <f>(Y424/12*2*$E424*$G424*$H424*$M424*$Z$11)+(Y424/12*10*$F424*$G424*$H424*$M424*$Z$12)</f>
        <v>0</v>
      </c>
      <c r="AA424" s="123"/>
      <c r="AB424" s="123">
        <f>(AA424/12*2*$E424*$G424*$H424*$M424*$AB$11)+(AA424/12*10*$F424*$G424*$H424*$M424*$AB$11)</f>
        <v>0</v>
      </c>
      <c r="AC424" s="123"/>
      <c r="AD424" s="123"/>
      <c r="AE424" s="123"/>
      <c r="AF424" s="127">
        <f>(AE424/12*2*$E424*$G424*$H424*$M424*$AF$11)+(AE424/12*10*$F424*$G424*$H424*$M424*$AF$11)</f>
        <v>0</v>
      </c>
      <c r="AG424" s="123">
        <v>15</v>
      </c>
      <c r="AH424" s="126">
        <f>(AG424/12*2*$E424*$G424*$H424*$M424*$AH$11)+(AG424/12*10*$F424*$G424*$H424*$M424*$AH$11)</f>
        <v>1764843.66135</v>
      </c>
      <c r="AI424" s="130">
        <v>73</v>
      </c>
      <c r="AJ424" s="123">
        <f t="shared" si="544"/>
        <v>10084936.764734998</v>
      </c>
      <c r="AK424" s="123">
        <f>5</f>
        <v>5</v>
      </c>
      <c r="AL424" s="123">
        <f t="shared" si="545"/>
        <v>828898.91217000014</v>
      </c>
      <c r="AM424" s="132"/>
      <c r="AN424" s="123">
        <f>(AM424/12*2*$E424*$G424*$H424*$N424*$AN$11)+(AM424/12*10*$F424*$G424*$H424*$N424*$AN$12)</f>
        <v>0</v>
      </c>
      <c r="AO424" s="130"/>
      <c r="AP424" s="127">
        <f>(AO424/12*2*$E424*$G424*$H424*$N424*$AP$11)+(AO424/12*10*$F424*$G424*$H424*$N424*$AP$11)</f>
        <v>0</v>
      </c>
      <c r="AQ424" s="127">
        <v>0</v>
      </c>
      <c r="AR424" s="127">
        <v>0</v>
      </c>
      <c r="AS424" s="123"/>
      <c r="AT424" s="123">
        <f>(AS424/12*2*$E424*$G424*$H424*$M424*$AT$11)+(AS424/12*10*$F424*$G424*$H424*$M424*$AT$11)</f>
        <v>0</v>
      </c>
      <c r="AU424" s="123"/>
      <c r="AV424" s="126">
        <f>(AU424/12*2*$E424*$G424*$H424*$M424*$AV$11)+(AU424/12*10*$F424*$G424*$H424*$M424*$AV$12)</f>
        <v>0</v>
      </c>
      <c r="AW424" s="123">
        <v>14</v>
      </c>
      <c r="AX424" s="123">
        <f>(AW424/12*2*$E424*$G424*$H424*$M424*$AX$11)+(AW424/12*10*$F424*$G424*$H424*$M424*$AX$12)</f>
        <v>1721460.26682</v>
      </c>
      <c r="AY424" s="123">
        <v>22</v>
      </c>
      <c r="AZ424" s="123">
        <f>(AY424/12*2*$E424*$G424*$H424*$N424*$AZ$11)+(AY424/12*10*$F424*$G424*$H424*$N424*$AZ$11)</f>
        <v>3106124.8439760003</v>
      </c>
      <c r="BA424" s="123"/>
      <c r="BB424" s="123">
        <f>(BA424/12*2*$E424*$G424*$H424*$N424*$BB$11)+(BA424/12*10*$F424*$G424*$H424*$N424*$BB$12)</f>
        <v>0</v>
      </c>
      <c r="BC424" s="123"/>
      <c r="BD424" s="126">
        <f>(BC424/12*2*$E424*$G424*$H424*$N424*$BD$11)+(BC424/12*10*$F424*$G424*$H424*$N424*$BD$12)</f>
        <v>0</v>
      </c>
      <c r="BE424" s="123">
        <v>6</v>
      </c>
      <c r="BF424" s="123">
        <f>(BE424/12*10*$F424*$G424*$H424*$N424*$BF$12)</f>
        <v>646898.23800000001</v>
      </c>
      <c r="BG424" s="123"/>
      <c r="BH424" s="123">
        <f>(BG424/12*2*$E424*$G424*$H424*$N424*$BH$11)+(BG424/12*10*$F424*$G424*$H424*$N424*$BH$11)</f>
        <v>0</v>
      </c>
      <c r="BI424" s="123">
        <v>5</v>
      </c>
      <c r="BJ424" s="126">
        <f>(BI424/12*2*$E424*$G424*$H424*$N424*$BJ$11)+(BI424/12*10*$F424*$G424*$H424*$N424*$BJ$11)</f>
        <v>770113.59768000012</v>
      </c>
      <c r="BK424" s="123">
        <v>5</v>
      </c>
      <c r="BL424" s="127">
        <f>(BK424/12*2*$E424*$G424*$H424*$N424*$BL$11)+(BK424/12*10*$F424*$G424*$H424*$N424*$BL$11)</f>
        <v>770113.59768000012</v>
      </c>
      <c r="BM424" s="123"/>
      <c r="BN424" s="123">
        <f>(BM424/12*2*$E424*$G424*$H424*$M424*$BN$11)+(BM424/12*10*$F424*$G424*$H424*$M424*$BN$11)</f>
        <v>0</v>
      </c>
      <c r="BO424" s="123"/>
      <c r="BP424" s="123">
        <f>(BO424/12*2*$E424*$G424*$H424*$M424*$BP$11)+(BO424/12*10*$F424*$G424*$H424*$M424*$BP$12)</f>
        <v>0</v>
      </c>
      <c r="BQ424" s="123"/>
      <c r="BR424" s="123">
        <f>(BQ424/12*2*$E424*$G424*$H424*$M424*$BR$11)+(BQ424/12*10*$F424*$G424*$H424*$M424*$BR$11)</f>
        <v>0</v>
      </c>
      <c r="BS424" s="123">
        <v>5</v>
      </c>
      <c r="BT424" s="123">
        <f>(BS424/12*2*$E424*$G424*$H424*$N424*$BT$11)+(BS424/12*10*$F424*$G424*$H424*$N424*$BT$11)</f>
        <v>641761.33140000014</v>
      </c>
      <c r="BU424" s="123"/>
      <c r="BV424" s="126">
        <f>(BU424/12*2*$E424*$G424*$H424*$M424*$BV$11)+(BU424/12*10*$F424*$G424*$H424*$M424*$BV$11)</f>
        <v>0</v>
      </c>
      <c r="BW424" s="123"/>
      <c r="BX424" s="123">
        <f>(BW424/12*2*$E424*$G424*$H424*$M424*$BX$11)+(BW424/12*10*$F424*$G424*$H424*$M424*$BX$11)</f>
        <v>0</v>
      </c>
      <c r="BY424" s="123">
        <v>10</v>
      </c>
      <c r="BZ424" s="123">
        <f>(BY424/12*2*$E424*$G424*$H424*$M424*$BZ$11)+(BY424/12*10*$F424*$G424*$H424*$M424*$BZ$11)</f>
        <v>1069602.219</v>
      </c>
      <c r="CA424" s="123">
        <v>36</v>
      </c>
      <c r="CB424" s="123">
        <f>(CA424/12*2*$E424*$G424*$H424*$M424*$CB$11)+(CA424/12*10*$F424*$G424*$H424*$M424*$CB$11)</f>
        <v>4620681.5860799998</v>
      </c>
      <c r="CC424" s="123">
        <v>12</v>
      </c>
      <c r="CD424" s="123">
        <f>(CC424/12*2*$E424*$G424*$H424*$M424*$CD$11)+(CC424/12*10*$F424*$G424*$H424*$M424*$CD$11)</f>
        <v>1283522.6628</v>
      </c>
      <c r="CE424" s="123">
        <v>2</v>
      </c>
      <c r="CF424" s="123">
        <f>(CE424/12*10*$F424*$G424*$H424*$N424*$CF$11)</f>
        <v>215632.74599999998</v>
      </c>
      <c r="CG424" s="132"/>
      <c r="CH424" s="123">
        <f>(CG424/12*2*$E424*$G424*$H424*$N424*$CH$11)+(CG424/12*10*$F424*$G424*$H424*$N424*$CH$11)</f>
        <v>0</v>
      </c>
      <c r="CI424" s="123"/>
      <c r="CJ424" s="127"/>
      <c r="CK424" s="123"/>
      <c r="CL424" s="123">
        <f>(CK424/12*2*$E424*$G424*$H424*$N424*$CL$11)+(CK424/12*10*$F424*$G424*$H424*$N424*$CL$12)</f>
        <v>0</v>
      </c>
      <c r="CM424" s="130"/>
      <c r="CN424" s="123">
        <f>(CM424/12*2*$E424*$G424*$H424*$N424*$CN$11)+(CM424/12*10*$F424*$G424*$H424*$N424*$CN$11)</f>
        <v>0</v>
      </c>
      <c r="CO424" s="123"/>
      <c r="CP424" s="123">
        <f>(CO424/12*2*$E424*$G424*$H424*$N424*$CP$11)+(CO424/12*10*$F424*$G424*$H424*$N424*$CP$11)</f>
        <v>0</v>
      </c>
      <c r="CQ424" s="123"/>
      <c r="CR424" s="123">
        <f>(CQ424/12*2*$E424*$G424*$H424*$O424*$CR$11)+(CQ424/12*10*$F424*$G424*$H424*$O424*$CR$11)</f>
        <v>0</v>
      </c>
      <c r="CS424" s="123">
        <v>5</v>
      </c>
      <c r="CT424" s="133">
        <f>(CS424/12*2*$E424*$G424*$H424*$P424*$CT$11)+(CS424/12*10*$F424*$G424*$H424*$P424*$CT$11)</f>
        <v>981742.03672500013</v>
      </c>
      <c r="CU424" s="127"/>
      <c r="CV424" s="123">
        <f>(CU424*$E424*$G424*$H424*$M424*CV$11)/12*6+(CU424*$E424*$G424*$H424*1*CV$11)/12*6</f>
        <v>0</v>
      </c>
      <c r="CW424" s="126">
        <f t="shared" si="546"/>
        <v>223</v>
      </c>
      <c r="CX424" s="126">
        <f t="shared" si="546"/>
        <v>29447582.417135999</v>
      </c>
    </row>
    <row r="425" spans="1:102" ht="18.75" x14ac:dyDescent="0.25">
      <c r="A425" s="91"/>
      <c r="B425" s="116">
        <v>350</v>
      </c>
      <c r="C425" s="117" t="s">
        <v>968</v>
      </c>
      <c r="D425" s="161" t="s">
        <v>969</v>
      </c>
      <c r="E425" s="95">
        <v>28004</v>
      </c>
      <c r="F425" s="96">
        <v>29405</v>
      </c>
      <c r="G425" s="119">
        <v>1.21</v>
      </c>
      <c r="H425" s="110">
        <v>0.8</v>
      </c>
      <c r="I425" s="108"/>
      <c r="J425" s="108"/>
      <c r="K425" s="108"/>
      <c r="L425" s="63"/>
      <c r="M425" s="120">
        <v>1.4</v>
      </c>
      <c r="N425" s="120">
        <v>1.68</v>
      </c>
      <c r="O425" s="120">
        <v>2.23</v>
      </c>
      <c r="P425" s="121">
        <v>2.57</v>
      </c>
      <c r="Q425" s="122">
        <v>0</v>
      </c>
      <c r="R425" s="123">
        <f>(Q425/12*2*$E425*$G425*$H425*$M425*$R$11)+(Q425/12*10*$F425*$G425*$H425*$M425*$R$11)</f>
        <v>0</v>
      </c>
      <c r="S425" s="124">
        <v>115</v>
      </c>
      <c r="T425" s="125">
        <f>(S425/12*2*$E425*$G425*$H425*$M425*$R$11)+(S425/12*10*$F425*$G425*$H425*$M425*$R$11)</f>
        <v>5000951.9252000013</v>
      </c>
      <c r="U425" s="123"/>
      <c r="V425" s="123">
        <f>(U425/12*2*$E425*$G425*$H425*$M425*$V$11)+(U425/12*10*$F425*$G425*$H425*$M425*$V$12)</f>
        <v>0</v>
      </c>
      <c r="W425" s="123"/>
      <c r="X425" s="126">
        <f>(W425/12*2*$E425*$G425*$H425*$M425*$X$11)+(W425/12*10*$F425*$G425*$H425*$M425*$X$12)</f>
        <v>0</v>
      </c>
      <c r="Y425" s="123"/>
      <c r="Z425" s="123">
        <f>(Y425/12*2*$E425*$G425*$H425*$M425*$Z$11)+(Y425/12*10*$F425*$G425*$H425*$M425*$Z$12)</f>
        <v>0</v>
      </c>
      <c r="AA425" s="123"/>
      <c r="AB425" s="123">
        <f>(AA425/12*2*$E425*$G425*$H425*$M425*$AB$11)+(AA425/12*10*$F425*$G425*$H425*$M425*$AB$11)</f>
        <v>0</v>
      </c>
      <c r="AC425" s="123"/>
      <c r="AD425" s="123"/>
      <c r="AE425" s="123"/>
      <c r="AF425" s="123">
        <f>(AE425/12*2*$E425*$G425*$H425*$M425*$AF$11)+(AE425/12*10*$F425*$G425*$H425*$M425*$AF$11)</f>
        <v>0</v>
      </c>
      <c r="AG425" s="135">
        <v>0</v>
      </c>
      <c r="AH425" s="136">
        <f>(AG425/12*2*$E425*$G425*$H425*$M425*$AH$11)+(AG425/12*10*$F425*$G425*$H425*$M425*$AH$11)</f>
        <v>0</v>
      </c>
      <c r="AI425" s="123"/>
      <c r="AJ425" s="123">
        <f t="shared" si="544"/>
        <v>0</v>
      </c>
      <c r="AK425" s="123">
        <v>30</v>
      </c>
      <c r="AL425" s="123">
        <f t="shared" si="545"/>
        <v>1838199.6494399998</v>
      </c>
      <c r="AM425" s="132"/>
      <c r="AN425" s="123">
        <f>(AM425/12*2*$E425*$G425*$H425*$N425*$AN$11)+(AM425/12*10*$F425*$G425*$H425*$N425*$AN$12)</f>
        <v>0</v>
      </c>
      <c r="AO425" s="130"/>
      <c r="AP425" s="127">
        <f>(AO425/12*2*$E425*$G425*$H425*$N425*$AP$11)+(AO425/12*10*$F425*$G425*$H425*$N425*$AP$11)</f>
        <v>0</v>
      </c>
      <c r="AQ425" s="127">
        <v>1</v>
      </c>
      <c r="AR425" s="127">
        <v>52601.55</v>
      </c>
      <c r="AS425" s="123"/>
      <c r="AT425" s="123">
        <f>(AS425/12*2*$E425*$G425*$H425*$M425*$AT$11)+(AS425/12*10*$F425*$G425*$H425*$M425*$AT$11)</f>
        <v>0</v>
      </c>
      <c r="AU425" s="123"/>
      <c r="AV425" s="126">
        <f>(AU425/12*2*$E425*$G425*$H425*$M425*$AV$11)+(AU425/12*10*$F425*$G425*$H425*$M425*$AV$12)</f>
        <v>0</v>
      </c>
      <c r="AW425" s="123">
        <v>5</v>
      </c>
      <c r="AX425" s="123">
        <f>(AW425/12*2*$E425*$G425*$H425*$M425*$AX$11)+(AW425/12*10*$F425*$G425*$H425*$M425*$AX$12)</f>
        <v>227236.88679999998</v>
      </c>
      <c r="AY425" s="123">
        <v>20</v>
      </c>
      <c r="AZ425" s="123">
        <f>(AY425/12*2*$E425*$G425*$H425*$N425*$AZ$11)+(AY425/12*10*$F425*$G425*$H425*$N425*$AZ$11)</f>
        <v>1043676.9235200002</v>
      </c>
      <c r="BA425" s="123"/>
      <c r="BB425" s="123">
        <f>(BA425/12*2*$E425*$G425*$H425*$N425*$BB$11)+(BA425/12*10*$F425*$G425*$H425*$N425*$BB$12)</f>
        <v>0</v>
      </c>
      <c r="BC425" s="123"/>
      <c r="BD425" s="126">
        <f>(BC425/12*2*$E425*$G425*$H425*$N425*$BD$11)+(BC425/12*10*$F425*$G425*$H425*$N425*$BD$12)</f>
        <v>0</v>
      </c>
      <c r="BE425" s="123">
        <v>8</v>
      </c>
      <c r="BF425" s="123">
        <f>(BE425/12*10*$F425*$G425*$H425*$N425*$BF$12)</f>
        <v>318797.24799999996</v>
      </c>
      <c r="BG425" s="123">
        <v>2</v>
      </c>
      <c r="BH425" s="123">
        <f>(BG425/12*2*$E425*$G425*$H425*$N425*$BH$11)+(BG425/12*10*$F425*$G425*$H425*$N425*$BH$11)</f>
        <v>85391.748288000003</v>
      </c>
      <c r="BI425" s="123">
        <v>4</v>
      </c>
      <c r="BJ425" s="126">
        <f>(BI425/12*2*$E425*$G425*$H425*$N425*$BJ$11)+(BI425/12*10*$F425*$G425*$H425*$N425*$BJ$11)</f>
        <v>227711.32876799998</v>
      </c>
      <c r="BK425" s="123"/>
      <c r="BL425" s="127">
        <f>(BK425/12*2*$E425*$G425*$H425*$N425*$BL$11)+(BK425/12*10*$F425*$G425*$H425*$N425*$BL$11)</f>
        <v>0</v>
      </c>
      <c r="BM425" s="123"/>
      <c r="BN425" s="123">
        <f>(BM425/12*2*$E425*$G425*$H425*$M425*$BN$11)+(BM425/12*10*$F425*$G425*$H425*$M425*$BN$11)</f>
        <v>0</v>
      </c>
      <c r="BO425" s="123"/>
      <c r="BP425" s="123">
        <f>(BO425/12*2*$E425*$G425*$H425*$M425*$BP$11)+(BO425/12*10*$F425*$G425*$H425*$M425*$BP$12)</f>
        <v>0</v>
      </c>
      <c r="BQ425" s="123"/>
      <c r="BR425" s="123">
        <f>(BQ425/12*2*$E425*$G425*$H425*$M425*$BR$11)+(BQ425/12*10*$F425*$G425*$H425*$M425*$BR$11)</f>
        <v>0</v>
      </c>
      <c r="BS425" s="123">
        <v>4</v>
      </c>
      <c r="BT425" s="123">
        <f>(BS425/12*2*$E425*$G425*$H425*$N425*$BT$11)+(BS425/12*10*$F425*$G425*$H425*$N425*$BT$11)</f>
        <v>189759.44063999999</v>
      </c>
      <c r="BU425" s="123"/>
      <c r="BV425" s="126">
        <f>(BU425/12*2*$E425*$G425*$H425*$M425*$BV$11)+(BU425/12*10*$F425*$G425*$H425*$M425*$BV$11)</f>
        <v>0</v>
      </c>
      <c r="BW425" s="123"/>
      <c r="BX425" s="123">
        <f>(BW425/12*2*$E425*$G425*$H425*$M425*$BX$11)+(BW425/12*10*$F425*$G425*$H425*$M425*$BX$11)</f>
        <v>0</v>
      </c>
      <c r="BY425" s="123">
        <v>10</v>
      </c>
      <c r="BZ425" s="123">
        <f>(BY425/12*2*$E425*$G425*$H425*$M425*$BZ$11)+(BY425/12*10*$F425*$G425*$H425*$M425*$BZ$11)</f>
        <v>395332.16800000001</v>
      </c>
      <c r="CA425" s="123">
        <v>1</v>
      </c>
      <c r="CB425" s="123">
        <f>(CA425/12*2*$E425*$G425*$H425*$M425*$CB$11)+(CA425/12*10*$F425*$G425*$H425*$M425*$CB$11)</f>
        <v>47439.860159999997</v>
      </c>
      <c r="CC425" s="123">
        <v>16</v>
      </c>
      <c r="CD425" s="123">
        <f>(CC425/12*2*$E425*$G425*$H425*$M425*$CD$11)+(CC425/12*10*$F425*$G425*$H425*$M425*$CD$11)</f>
        <v>632531.46879999992</v>
      </c>
      <c r="CE425" s="123">
        <v>5</v>
      </c>
      <c r="CF425" s="123">
        <f>(CE425/12*10*$F425*$G425*$H425*$N425*$CF$11)</f>
        <v>199248.28000000003</v>
      </c>
      <c r="CG425" s="132"/>
      <c r="CH425" s="123">
        <f>(CG425/12*2*$E425*$G425*$H425*$N425*$CH$11)+(CG425/12*10*$F425*$G425*$H425*$N425*$CH$11)</f>
        <v>0</v>
      </c>
      <c r="CI425" s="123"/>
      <c r="CJ425" s="127"/>
      <c r="CK425" s="123"/>
      <c r="CL425" s="123">
        <f>(CK425/12*2*$E425*$G425*$H425*$N425*$CL$11)+(CK425/12*10*$F425*$G425*$H425*$N425*$CL$12)</f>
        <v>0</v>
      </c>
      <c r="CM425" s="130">
        <v>1</v>
      </c>
      <c r="CN425" s="123">
        <f>(CM425/12*2*$E425*$G425*$H425*$N425*$CN$11)+(CM425/12*10*$F425*$G425*$H425*$N425*$CN$11)</f>
        <v>47439.860159999997</v>
      </c>
      <c r="CO425" s="123">
        <v>2</v>
      </c>
      <c r="CP425" s="123">
        <v>47819.59</v>
      </c>
      <c r="CQ425" s="123">
        <v>1</v>
      </c>
      <c r="CR425" s="123">
        <f>(CQ425/12*2*$E425*$G425*$H425*$O425*$CR$11)+(CQ425/12*10*$F425*$G425*$H425*$O425*$CR$11)</f>
        <v>62970.766759999991</v>
      </c>
      <c r="CS425" s="123">
        <v>2</v>
      </c>
      <c r="CT425" s="133">
        <f>(CS425/12*2*$E425*$G425*$H425*$P425*$CT$11)+(CS425/12*10*$F425*$G425*$H425*$P425*$CT$11)</f>
        <v>145143.38167999999</v>
      </c>
      <c r="CU425" s="127"/>
      <c r="CV425" s="123">
        <f>(CU425*$E425*$G425*$H425*$M425*CV$11)/12*6+(CU425*$E425*$G425*$H425*1*CV$11)/12*6</f>
        <v>0</v>
      </c>
      <c r="CW425" s="126">
        <f t="shared" si="546"/>
        <v>227</v>
      </c>
      <c r="CX425" s="126">
        <f t="shared" si="546"/>
        <v>10562252.076216003</v>
      </c>
    </row>
    <row r="426" spans="1:102" ht="18.75" x14ac:dyDescent="0.25">
      <c r="A426" s="91"/>
      <c r="B426" s="116">
        <v>351</v>
      </c>
      <c r="C426" s="117" t="s">
        <v>970</v>
      </c>
      <c r="D426" s="161" t="s">
        <v>971</v>
      </c>
      <c r="E426" s="95">
        <v>28004</v>
      </c>
      <c r="F426" s="96">
        <v>29405</v>
      </c>
      <c r="G426" s="119">
        <v>2.0299999999999998</v>
      </c>
      <c r="H426" s="110">
        <v>0.85</v>
      </c>
      <c r="I426" s="203"/>
      <c r="J426" s="203"/>
      <c r="K426" s="203"/>
      <c r="L426" s="63"/>
      <c r="M426" s="120">
        <v>1.4</v>
      </c>
      <c r="N426" s="120">
        <v>1.68</v>
      </c>
      <c r="O426" s="120">
        <v>2.23</v>
      </c>
      <c r="P426" s="121">
        <v>2.57</v>
      </c>
      <c r="Q426" s="122"/>
      <c r="R426" s="123">
        <f>(Q426/12*2*$E426*$G426*$H426*$M426*$R$11)+(Q426/12*10*$F426*$G426*$H426*$M426*$R$11)</f>
        <v>0</v>
      </c>
      <c r="S426" s="124">
        <v>70</v>
      </c>
      <c r="T426" s="125">
        <f>(S426/12*2*$E426*$G426*$H426*$M426*$R$11)+(S426/12*10*$F426*$G426*$H426*$M426*$R$11)</f>
        <v>5426158.6263499986</v>
      </c>
      <c r="U426" s="123"/>
      <c r="V426" s="123">
        <f>(U426/12*2*$E426*$G426*$H426*$M426*$V$11)+(U426/12*10*$F426*$G426*$H426*$M426*$V$12)</f>
        <v>0</v>
      </c>
      <c r="W426" s="123"/>
      <c r="X426" s="126">
        <f>(W426/12*2*$E426*$G426*$H426*$M426*$X$11)+(W426/12*10*$F426*$G426*$H426*$M426*$X$12)</f>
        <v>0</v>
      </c>
      <c r="Y426" s="123"/>
      <c r="Z426" s="123">
        <f>(Y426/12*2*$E426*$G426*$H426*$M426*$Z$11)+(Y426/12*10*$F426*$G426*$H426*$M426*$Z$12)</f>
        <v>0</v>
      </c>
      <c r="AA426" s="123"/>
      <c r="AB426" s="123">
        <f>(AA426/12*2*$E426*$G426*$H426*$M426*$AB$11)+(AA426/12*10*$F426*$G426*$H426*$M426*$AB$11)</f>
        <v>0</v>
      </c>
      <c r="AC426" s="123"/>
      <c r="AD426" s="123"/>
      <c r="AE426" s="123"/>
      <c r="AF426" s="123">
        <f>(AE426/12*2*$E426*$G426*$H426*$M426*$AF$11)+(AE426/12*10*$F426*$G426*$H426*$M426*$AF$11)</f>
        <v>0</v>
      </c>
      <c r="AG426" s="123">
        <v>0</v>
      </c>
      <c r="AH426" s="126">
        <f>(AG426/12*2*$E426*$G426*$H426*$M426*$AH$11)+(AG426/12*10*$F426*$G426*$H426*$M426*$AH$11)</f>
        <v>0</v>
      </c>
      <c r="AI426" s="123"/>
      <c r="AJ426" s="123">
        <f t="shared" si="544"/>
        <v>0</v>
      </c>
      <c r="AK426" s="123"/>
      <c r="AL426" s="123">
        <f t="shared" si="545"/>
        <v>0</v>
      </c>
      <c r="AM426" s="132"/>
      <c r="AN426" s="123">
        <f>(AM426/12*2*$E426*$G426*$H426*$N426*$AN$11)+(AM426/12*10*$F426*$G426*$H426*$N426*$AN$12)</f>
        <v>0</v>
      </c>
      <c r="AO426" s="130"/>
      <c r="AP426" s="127">
        <f>(AO426/12*2*$E426*$G426*$H426*$N426*$AP$11)+(AO426/12*10*$F426*$G426*$H426*$N426*$AP$11)</f>
        <v>0</v>
      </c>
      <c r="AQ426" s="127">
        <v>1</v>
      </c>
      <c r="AR426" s="127">
        <v>89297.03</v>
      </c>
      <c r="AS426" s="123"/>
      <c r="AT426" s="123">
        <f>(AS426/12*2*$E426*$G426*$H426*$M426*$AT$11)+(AS426/12*10*$F426*$G426*$H426*$M426*$AT$11)</f>
        <v>0</v>
      </c>
      <c r="AU426" s="123"/>
      <c r="AV426" s="126">
        <f>(AU426/12*2*$E426*$G426*$H426*$M426*$AV$11)+(AU426/12*10*$F426*$G426*$H426*$M426*$AV$12)</f>
        <v>0</v>
      </c>
      <c r="AW426" s="123">
        <v>5</v>
      </c>
      <c r="AX426" s="123">
        <f>(AW426/12*2*$E426*$G426*$H426*$M426*$AX$11)+(AW426/12*10*$F426*$G426*$H426*$M426*$AX$12)</f>
        <v>405059.14067499992</v>
      </c>
      <c r="AY426" s="123">
        <v>11</v>
      </c>
      <c r="AZ426" s="123">
        <f>(AY426/12*2*$E426*$G426*$H426*$N426*$AZ$11)+(AY426/12*10*$F426*$G426*$H426*$N426*$AZ$11)</f>
        <v>1023218.483826</v>
      </c>
      <c r="BA426" s="123"/>
      <c r="BB426" s="123">
        <f>(BA426/12*2*$E426*$G426*$H426*$N426*$BB$11)+(BA426/12*10*$F426*$G426*$H426*$N426*$BB$12)</f>
        <v>0</v>
      </c>
      <c r="BC426" s="123"/>
      <c r="BD426" s="126">
        <f>(BC426/12*2*$E426*$G426*$H426*$N426*$BD$11)+(BC426/12*10*$F426*$G426*$H426*$N426*$BD$12)</f>
        <v>0</v>
      </c>
      <c r="BE426" s="123">
        <v>3</v>
      </c>
      <c r="BF426" s="123">
        <f>(BE426/12*10*$F426*$G426*$H426*$N426*$BF$12)</f>
        <v>213100.97549999997</v>
      </c>
      <c r="BG426" s="123"/>
      <c r="BH426" s="123">
        <f>(BG426/12*2*$E426*$G426*$H426*$N426*$BH$11)+(BG426/12*10*$F426*$G426*$H426*$N426*$BH$11)</f>
        <v>0</v>
      </c>
      <c r="BI426" s="123">
        <v>3</v>
      </c>
      <c r="BJ426" s="126">
        <f>(BI426/12*2*$E426*$G426*$H426*$N426*$BJ$11)+(BI426/12*10*$F426*$G426*$H426*$N426*$BJ$11)</f>
        <v>304428.63981599995</v>
      </c>
      <c r="BK426" s="123"/>
      <c r="BL426" s="127">
        <f>(BK426/12*2*$E426*$G426*$H426*$N426*$BL$11)+(BK426/12*10*$F426*$G426*$H426*$N426*$BL$11)</f>
        <v>0</v>
      </c>
      <c r="BM426" s="123"/>
      <c r="BN426" s="123">
        <f>(BM426/12*2*$E426*$G426*$H426*$M426*$BN$11)+(BM426/12*10*$F426*$G426*$H426*$M426*$BN$11)</f>
        <v>0</v>
      </c>
      <c r="BO426" s="123"/>
      <c r="BP426" s="123">
        <f>(BO426/12*2*$E426*$G426*$H426*$M426*$BP$11)+(BO426/12*10*$F426*$G426*$H426*$M426*$BP$12)</f>
        <v>0</v>
      </c>
      <c r="BQ426" s="123"/>
      <c r="BR426" s="123">
        <f>(BQ426/12*2*$E426*$G426*$H426*$M426*$BR$11)+(BQ426/12*10*$F426*$G426*$H426*$M426*$BR$11)</f>
        <v>0</v>
      </c>
      <c r="BS426" s="123">
        <v>2</v>
      </c>
      <c r="BT426" s="123">
        <f>(BS426/12*2*$E426*$G426*$H426*$N426*$BT$11)+(BS426/12*10*$F426*$G426*$H426*$N426*$BT$11)</f>
        <v>169127.02211999995</v>
      </c>
      <c r="BU426" s="123"/>
      <c r="BV426" s="126">
        <f>(BU426/12*2*$E426*$G426*$H426*$M426*$BV$11)+(BU426/12*10*$F426*$G426*$H426*$M426*$BV$11)</f>
        <v>0</v>
      </c>
      <c r="BW426" s="123"/>
      <c r="BX426" s="123">
        <f>(BW426/12*2*$E426*$G426*$H426*$M426*$BX$11)+(BW426/12*10*$F426*$G426*$H426*$M426*$BX$11)</f>
        <v>0</v>
      </c>
      <c r="BY426" s="123"/>
      <c r="BZ426" s="123">
        <f>(BY426/12*2*$E426*$G426*$H426*$M426*$BZ$11)+(BY426/12*10*$F426*$G426*$H426*$M426*$BZ$11)</f>
        <v>0</v>
      </c>
      <c r="CA426" s="123">
        <v>1</v>
      </c>
      <c r="CB426" s="123">
        <f>(CA426/12*2*$E426*$G426*$H426*$M426*$CB$11)+(CA426/12*10*$F426*$G426*$H426*$M426*$CB$11)</f>
        <v>84563.511059999975</v>
      </c>
      <c r="CC426" s="123"/>
      <c r="CD426" s="123">
        <f>(CC426/12*2*$E426*$G426*$H426*$M426*$CD$11)+(CC426/12*10*$F426*$G426*$H426*$M426*$CD$11)</f>
        <v>0</v>
      </c>
      <c r="CE426" s="123">
        <v>2</v>
      </c>
      <c r="CF426" s="123">
        <f>(CE426/12*10*$F426*$G426*$H426*$N426*$CF$11)</f>
        <v>142067.31699999995</v>
      </c>
      <c r="CG426" s="132"/>
      <c r="CH426" s="123">
        <f>(CG426/12*2*$E426*$G426*$H426*$N426*$CH$11)+(CG426/12*10*$F426*$G426*$H426*$N426*$CH$11)</f>
        <v>0</v>
      </c>
      <c r="CI426" s="123"/>
      <c r="CJ426" s="127"/>
      <c r="CK426" s="123"/>
      <c r="CL426" s="123">
        <f>(CK426/12*2*$E426*$G426*$H426*$N426*$CL$11)+(CK426/12*10*$F426*$G426*$H426*$N426*$CL$12)</f>
        <v>0</v>
      </c>
      <c r="CM426" s="130">
        <v>1</v>
      </c>
      <c r="CN426" s="123">
        <f>(CM426/12*2*$E426*$G426*$H426*$N426*$CN$11)+(CM426/12*10*$F426*$G426*$H426*$N426*$CN$11)</f>
        <v>84563.511059999975</v>
      </c>
      <c r="CO426" s="123"/>
      <c r="CP426" s="123">
        <f>(CO426/12*2*$E426*$G426*$H426*$N426*$CP$11)+(CO426/12*10*$F426*$G426*$H426*$N426*$CP$11)</f>
        <v>0</v>
      </c>
      <c r="CQ426" s="123"/>
      <c r="CR426" s="123">
        <f>(CQ426/12*2*$E426*$G426*$H426*$O426*$CR$11)+(CQ426/12*10*$F426*$G426*$H426*$O426*$CR$11)</f>
        <v>0</v>
      </c>
      <c r="CS426" s="123">
        <v>2</v>
      </c>
      <c r="CT426" s="133">
        <f>(CS426/12*2*$E426*$G426*$H426*$P426*$CT$11)+(CS426/12*10*$F426*$G426*$H426*$P426*$CT$11)</f>
        <v>258724.0755049999</v>
      </c>
      <c r="CU426" s="127"/>
      <c r="CV426" s="123">
        <f>(CU426*$E426*$G426*$H426*$M426*CV$11)/12*6+(CU426*$E426*$G426*$H426*1*CV$11)/12*6</f>
        <v>0</v>
      </c>
      <c r="CW426" s="126">
        <f t="shared" si="546"/>
        <v>101</v>
      </c>
      <c r="CX426" s="126">
        <f t="shared" si="546"/>
        <v>8200308.332911999</v>
      </c>
    </row>
    <row r="427" spans="1:102" ht="18.75" x14ac:dyDescent="0.25">
      <c r="A427" s="91"/>
      <c r="B427" s="116">
        <v>352</v>
      </c>
      <c r="C427" s="117" t="s">
        <v>972</v>
      </c>
      <c r="D427" s="161" t="s">
        <v>973</v>
      </c>
      <c r="E427" s="95">
        <v>28004</v>
      </c>
      <c r="F427" s="96">
        <v>29405</v>
      </c>
      <c r="G427" s="119">
        <v>3.54</v>
      </c>
      <c r="H427" s="110">
        <v>0.9</v>
      </c>
      <c r="I427" s="110">
        <v>0.85</v>
      </c>
      <c r="J427" s="238"/>
      <c r="K427" s="238"/>
      <c r="L427" s="63"/>
      <c r="M427" s="120">
        <v>1.4</v>
      </c>
      <c r="N427" s="120">
        <v>1.68</v>
      </c>
      <c r="O427" s="120">
        <v>2.23</v>
      </c>
      <c r="P427" s="121">
        <v>2.57</v>
      </c>
      <c r="Q427" s="122"/>
      <c r="R427" s="123">
        <f>(Q427/12*2*$E427*$G427*$H427*$M427*$R$11)+(Q427/12*10*$F427*$G427*$I427*$M427*$R$11)</f>
        <v>0</v>
      </c>
      <c r="S427" s="124">
        <v>30</v>
      </c>
      <c r="T427" s="125">
        <f>(S427/12*2*$E427*$G427*$H427*$M427*$R$11)+(S427/12*10*$F427*$G427*$I427*$M427*$R$11)</f>
        <v>4093466.0613000002</v>
      </c>
      <c r="U427" s="123"/>
      <c r="V427" s="123">
        <f>(U427/12*2*$E427*$G427*$H427*$M427*$V$11)+(U427/12*10*$F427*$G427*$I427*$M427*$V$12)</f>
        <v>0</v>
      </c>
      <c r="W427" s="123"/>
      <c r="X427" s="126">
        <f>(W427/12*2*$E427*$G427*$H427*$M427*$X$11)+(W427/12*10*$F427*$G427*$I427*$M427*$X$12)</f>
        <v>0</v>
      </c>
      <c r="Y427" s="123"/>
      <c r="Z427" s="123">
        <f>(Y427/12*2*$E427*$G427*$H427*$M427*$Z$11)+(Y427/12*10*$F427*$G427*$I427*$M427*$Z$12)</f>
        <v>0</v>
      </c>
      <c r="AA427" s="123"/>
      <c r="AB427" s="123">
        <f>(AA427/12*2*$E427*$G427*$H427*$M427*$AB$11)+(AA427/12*10*$F427*$G427*$I427*$M427*$AB$11)</f>
        <v>0</v>
      </c>
      <c r="AC427" s="123"/>
      <c r="AD427" s="123"/>
      <c r="AE427" s="123"/>
      <c r="AF427" s="123">
        <f>(AE427/12*2*$E427*$G427*$H427*$M427*$AF$11)+(AE427/12*10*$F427*$G427*$I427*$M427*$AF$11)</f>
        <v>0</v>
      </c>
      <c r="AG427" s="123">
        <v>0</v>
      </c>
      <c r="AH427" s="126">
        <f>(AG427/12*2*$E427*$G427*$H427*$M427*$AH$11)+(AG427/12*10*$F427*$G427*$I427*$M427*$AH$11)</f>
        <v>0</v>
      </c>
      <c r="AI427" s="123"/>
      <c r="AJ427" s="123">
        <f t="shared" ref="AJ427:AJ430" si="547">(AI427/12*2*$E427*$G427*$H427*$M427*$AJ$11)+(AI427/12*5*$F427*$G427*$I427*$M427*$AJ$12)+(AI427/12*5*$F427*$G427*$I427*$M427*$AJ$13)</f>
        <v>0</v>
      </c>
      <c r="AK427" s="123"/>
      <c r="AL427" s="123">
        <f t="shared" ref="AL427:AL430" si="548">(AK427/12*2*$E427*$G427*$H427*$N427*$AL$11)+(AK427/12*5*$F427*$G427*$I427*$N427*$AL$12)+(AK427/12*5*$F427*$G427*$I427*$N427*$AL$13)</f>
        <v>0</v>
      </c>
      <c r="AM427" s="132"/>
      <c r="AN427" s="123">
        <f>(AM427/12*2*$E427*$G427*$H427*$N427*$AN$11)+(AM427/12*10*$F427*$G427*$I427*$N427*$AN$12)</f>
        <v>0</v>
      </c>
      <c r="AO427" s="130"/>
      <c r="AP427" s="127">
        <f>(AO427/12*2*$E427*$G427*$H427*$N427*$AP$11)+(AO427/12*10*$F427*$G427*$I427*$N427*$AP$11)</f>
        <v>0</v>
      </c>
      <c r="AQ427" s="127">
        <v>0</v>
      </c>
      <c r="AR427" s="127">
        <v>0</v>
      </c>
      <c r="AS427" s="123"/>
      <c r="AT427" s="123"/>
      <c r="AU427" s="123"/>
      <c r="AV427" s="126"/>
      <c r="AW427" s="123">
        <v>3</v>
      </c>
      <c r="AX427" s="123">
        <f>(AW427/12*2*$E427*$G427*$H427*$M427*$AX$11)+(AW427/12*10*$F427*$G427*$I427*$M427*$AX$12)</f>
        <v>427979.20850999991</v>
      </c>
      <c r="AY427" s="123">
        <v>30</v>
      </c>
      <c r="AZ427" s="123">
        <f>(AY427/12*2*$E427*$G427*$H427*$N427*$AZ$11)+(AY427/12*10*$F427*$G427*$I427*$N427*$AZ$11)</f>
        <v>4912159.2735600006</v>
      </c>
      <c r="BA427" s="123"/>
      <c r="BB427" s="123">
        <f>(BA427/12*2*$E427*$G427*$H427*$N427*$BB$11)+(BA427/12*10*$F427*$G427*$I427*$N427*$BB$12)</f>
        <v>0</v>
      </c>
      <c r="BC427" s="123"/>
      <c r="BD427" s="126"/>
      <c r="BE427" s="123">
        <v>1</v>
      </c>
      <c r="BF427" s="123">
        <f>(BE427/12*10*$F427*$G427*$I427*$N427*$BF$12)</f>
        <v>123871.50299999998</v>
      </c>
      <c r="BG427" s="123"/>
      <c r="BH427" s="123">
        <f>(BG427/12*2*$E427*$G427*$H427*$N427*$BH$11)+(BG427/12*10*$F427*$G427*$I427*$N427*$BH$11)</f>
        <v>0</v>
      </c>
      <c r="BI427" s="123"/>
      <c r="BJ427" s="126">
        <f>(BI427/12*2*$E427*$G427*$H427*$N427*$BJ$11)+(BI427/12*10*$F427*$G427*$I427*$N427*$BJ$11)</f>
        <v>0</v>
      </c>
      <c r="BK427" s="123"/>
      <c r="BL427" s="127">
        <f>(BK427/12*2*$E427*$G427*$H427*$N427*$BL$11)+(BK427/12*10*$F427*$G427*$I427*$N427*$BL$11)</f>
        <v>0</v>
      </c>
      <c r="BM427" s="123"/>
      <c r="BN427" s="123">
        <f>(BM427/12*2*$E427*$G427*$H427*$M427*$BN$11)+(BM427/12*10*$F427*$G427*$I427*$M427*$BN$11)</f>
        <v>0</v>
      </c>
      <c r="BO427" s="123"/>
      <c r="BP427" s="123">
        <f>(BO427/12*2*$E427*$G427*$H427*$M427*$BP$11)+(BO427/12*10*$F427*$G427*$I427*$M427*$BP$12)</f>
        <v>0</v>
      </c>
      <c r="BQ427" s="123"/>
      <c r="BR427" s="123">
        <f>(BQ427/12*2*$E427*$G427*$H427*$M427*$BR$11)+(BQ427/12*10*$F427*$G427*$I427*$M427*$BR$11)</f>
        <v>0</v>
      </c>
      <c r="BS427" s="123"/>
      <c r="BT427" s="123">
        <f>(BS427/12*2*$E427*$G427*$H427*$N427*$BT$11)+(BS427/12*10*$F427*$G427*$I427*$N427*$BT$11)</f>
        <v>0</v>
      </c>
      <c r="BU427" s="123"/>
      <c r="BV427" s="126">
        <f>(BU427/12*2*$E427*$G427*$H427*$M427*$BV$11)+(BU427/12*10*$F427*$G427*$I427*$M427*$BV$11)</f>
        <v>0</v>
      </c>
      <c r="BW427" s="123"/>
      <c r="BX427" s="123">
        <f>(BW427/12*2*$E427*$G427*$H427*$M427*$BX$11)+(BW427/12*10*$F427*$G427*$I427*$M427*$BX$11)</f>
        <v>0</v>
      </c>
      <c r="BY427" s="123"/>
      <c r="BZ427" s="123">
        <f>(BY427/12*2*$E427*$G427*$H427*$M427*$BZ$11)+(BY427/12*10*$F427*$G427*$I427*$M427*$BZ$11)</f>
        <v>0</v>
      </c>
      <c r="CA427" s="123">
        <v>6</v>
      </c>
      <c r="CB427" s="123">
        <f>(CA427/12*2*$E427*$G427*$H427*$M427*$CB$11)+(CA427/12*10*$F427*$G427*$I427*$M427*$CB$11)</f>
        <v>893119.86791999976</v>
      </c>
      <c r="CC427" s="123">
        <v>11</v>
      </c>
      <c r="CD427" s="123">
        <f>(CC427/12*2*$E427*$G427*$H427*$M427*$CD$11)+(CC427/12*10*$F427*$G427*$I427*$M427*$CD$11)</f>
        <v>1364488.6870999995</v>
      </c>
      <c r="CE427" s="123">
        <v>1</v>
      </c>
      <c r="CF427" s="123">
        <f>(CE427/12*10*$F427*$G427*$I427*$N427*$CF$11)</f>
        <v>123871.50299999998</v>
      </c>
      <c r="CG427" s="132"/>
      <c r="CH427" s="123">
        <f>(CG427/12*2*$E427*$G427*$H427*$N427*$CH$11)+(CG427/12*10*$F427*$G427*$I427*$N427*$CH$11)</f>
        <v>0</v>
      </c>
      <c r="CI427" s="123"/>
      <c r="CJ427" s="127"/>
      <c r="CK427" s="123"/>
      <c r="CL427" s="123">
        <f>(CK427/12*2*$E427*$G427*$H427*$N427*$CL$11)+(CK427/12*10*$F427*$G427*$I427*$N427*$CL$12)</f>
        <v>0</v>
      </c>
      <c r="CM427" s="130"/>
      <c r="CN427" s="123">
        <f>(CM427/12*2*$E427*$G427*$H427*$N427*$CN$11)+(CM427/12*10*$F427*$G427*$I427*$N427*$CN$11)</f>
        <v>0</v>
      </c>
      <c r="CO427" s="123"/>
      <c r="CP427" s="123">
        <f>(CO427/12*2*$E427*$G427*$H427*$N427*$CP$11)+(CO427/12*10*$F427*$G427*$I427*$N427*$CP$11)</f>
        <v>0</v>
      </c>
      <c r="CQ427" s="123"/>
      <c r="CR427" s="123">
        <f>(CQ427/12*2*$E427*$G427*$H427*$O427*$CR$11)+(CQ427/12*10*$F427*$G427*$I427*$O427*$CR$11)</f>
        <v>0</v>
      </c>
      <c r="CS427" s="123"/>
      <c r="CT427" s="133">
        <f>(CS427/12*2*$E427*$G427*$H427*$P427*$CT$11)+(CS427/12*10*$F427*$G427*$I427*$P427*$CT$11)</f>
        <v>0</v>
      </c>
      <c r="CU427" s="127"/>
      <c r="CV427" s="123"/>
      <c r="CW427" s="126">
        <f t="shared" si="546"/>
        <v>82</v>
      </c>
      <c r="CX427" s="126">
        <f t="shared" si="546"/>
        <v>11938956.104390003</v>
      </c>
    </row>
    <row r="428" spans="1:102" ht="18.75" x14ac:dyDescent="0.25">
      <c r="A428" s="91"/>
      <c r="B428" s="116">
        <v>353</v>
      </c>
      <c r="C428" s="117" t="s">
        <v>974</v>
      </c>
      <c r="D428" s="161" t="s">
        <v>975</v>
      </c>
      <c r="E428" s="95">
        <v>28004</v>
      </c>
      <c r="F428" s="96">
        <v>29405</v>
      </c>
      <c r="G428" s="107">
        <v>5.2</v>
      </c>
      <c r="H428" s="110">
        <v>0.95</v>
      </c>
      <c r="I428" s="110">
        <v>0.9</v>
      </c>
      <c r="J428" s="238"/>
      <c r="K428" s="238"/>
      <c r="L428" s="63"/>
      <c r="M428" s="120">
        <v>1.4</v>
      </c>
      <c r="N428" s="120">
        <v>1.68</v>
      </c>
      <c r="O428" s="120">
        <v>2.23</v>
      </c>
      <c r="P428" s="121">
        <v>2.57</v>
      </c>
      <c r="Q428" s="122"/>
      <c r="R428" s="123">
        <f>(Q428/12*2*$E428*$G428*$H428*$M428*$R$11)+(Q428/12*10*$F428*$G428*$I428*$M428*$R$11)</f>
        <v>0</v>
      </c>
      <c r="S428" s="124">
        <v>43</v>
      </c>
      <c r="T428" s="125">
        <f>(S428/12*2*$E428*$G428*$H428*$M428*$R$11)+(S428/12*10*$F428*$G428*$I428*$M428*$R$11)</f>
        <v>9120886.3078666665</v>
      </c>
      <c r="U428" s="123"/>
      <c r="V428" s="123">
        <f>(U428/12*2*$E428*$G428*$H428*$M428*$V$11)+(U428/12*10*$F428*$G428*$I428*$M428*$V$12)</f>
        <v>0</v>
      </c>
      <c r="W428" s="123"/>
      <c r="X428" s="126">
        <f>(W428/12*2*$E428*$G428*$H428*$M428*$X$11)+(W428/12*10*$F428*$G428*$I428*$M428*$X$12)</f>
        <v>0</v>
      </c>
      <c r="Y428" s="123"/>
      <c r="Z428" s="123">
        <f>(Y428/12*2*$E428*$G428*$H428*$M428*$Z$11)+(Y428/12*10*$F428*$G428*$I428*$M428*$Z$12)</f>
        <v>0</v>
      </c>
      <c r="AA428" s="123"/>
      <c r="AB428" s="123">
        <f>(AA428/12*2*$E428*$G428*$H428*$M428*$AB$11)+(AA428/12*10*$F428*$G428*$I428*$M428*$AB$11)</f>
        <v>0</v>
      </c>
      <c r="AC428" s="123"/>
      <c r="AD428" s="123"/>
      <c r="AE428" s="123"/>
      <c r="AF428" s="123">
        <f>(AE428/12*2*$E428*$G428*$H428*$M428*$AF$11)+(AE428/12*10*$F428*$G428*$I428*$M428*$AF$11)</f>
        <v>0</v>
      </c>
      <c r="AG428" s="123">
        <v>0</v>
      </c>
      <c r="AH428" s="126">
        <f>(AG428/12*2*$E428*$G428*$H428*$M428*$AH$11)+(AG428/12*10*$F428*$G428*$I428*$M428*$AH$11)</f>
        <v>0</v>
      </c>
      <c r="AI428" s="123"/>
      <c r="AJ428" s="123">
        <f t="shared" si="547"/>
        <v>0</v>
      </c>
      <c r="AK428" s="123"/>
      <c r="AL428" s="123">
        <f t="shared" si="548"/>
        <v>0</v>
      </c>
      <c r="AM428" s="132"/>
      <c r="AN428" s="123">
        <f>(AM428/12*2*$E428*$G428*$H428*$N428*$AN$11)+(AM428/12*10*$F428*$G428*$I428*$N428*$AN$12)</f>
        <v>0</v>
      </c>
      <c r="AO428" s="130"/>
      <c r="AP428" s="127">
        <f>(AO428/12*2*$E428*$G428*$H428*$N428*$AP$11)+(AO428/12*10*$F428*$G428*$I428*$N428*$AP$11)</f>
        <v>0</v>
      </c>
      <c r="AQ428" s="127">
        <v>0</v>
      </c>
      <c r="AR428" s="127">
        <v>0</v>
      </c>
      <c r="AS428" s="123"/>
      <c r="AT428" s="123"/>
      <c r="AU428" s="123"/>
      <c r="AV428" s="126"/>
      <c r="AW428" s="123"/>
      <c r="AX428" s="123">
        <f>(AW428/12*2*$E428*$G428*$H428*$M428*$AX$11)+(AW428/12*10*$F428*$G428*$I428*$M428*$AX$12)</f>
        <v>0</v>
      </c>
      <c r="AY428" s="123">
        <v>15</v>
      </c>
      <c r="AZ428" s="123">
        <f>(AY428/12*2*$E428*$G428*$H428*$N428*$AZ$11)+(AY428/12*10*$F428*$G428*$I428*$N428*$AZ$11)</f>
        <v>3818045.4312000005</v>
      </c>
      <c r="BA428" s="123"/>
      <c r="BB428" s="123">
        <f>(BA428/12*2*$E428*$G428*$H428*$N428*$BB$11)+(BA428/12*10*$F428*$G428*$I428*$N428*$BB$12)</f>
        <v>0</v>
      </c>
      <c r="BC428" s="123"/>
      <c r="BD428" s="126"/>
      <c r="BE428" s="123"/>
      <c r="BF428" s="123">
        <f>(BE428/12*10*$F428*$G428*$I428*$N428*$BF$12)</f>
        <v>0</v>
      </c>
      <c r="BG428" s="123"/>
      <c r="BH428" s="123">
        <f>(BG428/12*2*$E428*$G428*$H428*$N428*$BH$11)+(BG428/12*10*$F428*$G428*$I428*$N428*$BH$11)</f>
        <v>0</v>
      </c>
      <c r="BI428" s="123"/>
      <c r="BJ428" s="126">
        <f>(BI428/12*2*$E428*$G428*$H428*$N428*$BJ$11)+(BI428/12*10*$F428*$G428*$I428*$N428*$BJ$11)</f>
        <v>0</v>
      </c>
      <c r="BK428" s="123"/>
      <c r="BL428" s="127">
        <f>(BK428/12*2*$E428*$G428*$H428*$N428*$BL$11)+(BK428/12*10*$F428*$G428*$I428*$N428*$BL$11)</f>
        <v>0</v>
      </c>
      <c r="BM428" s="123"/>
      <c r="BN428" s="123">
        <f>(BM428/12*2*$E428*$G428*$H428*$M428*$BN$11)+(BM428/12*10*$F428*$G428*$I428*$M428*$BN$11)</f>
        <v>0</v>
      </c>
      <c r="BO428" s="123"/>
      <c r="BP428" s="123">
        <f>(BO428/12*2*$E428*$G428*$H428*$M428*$BP$11)+(BO428/12*10*$F428*$G428*$I428*$M428*$BP$12)</f>
        <v>0</v>
      </c>
      <c r="BQ428" s="123"/>
      <c r="BR428" s="123">
        <f>(BQ428/12*2*$E428*$G428*$H428*$M428*$BR$11)+(BQ428/12*10*$F428*$G428*$I428*$M428*$BR$11)</f>
        <v>0</v>
      </c>
      <c r="BS428" s="123">
        <v>2</v>
      </c>
      <c r="BT428" s="123">
        <f>(BS428/12*2*$E428*$G428*$H428*$N428*$BT$11)+(BS428/12*10*$F428*$G428*$I428*$N428*$BT$11)</f>
        <v>462793.38559999998</v>
      </c>
      <c r="BU428" s="123"/>
      <c r="BV428" s="126">
        <f>(BU428/12*2*$E428*$G428*$H428*$M428*$BV$11)+(BU428/12*10*$F428*$G428*$I428*$M428*$BV$11)</f>
        <v>0</v>
      </c>
      <c r="BW428" s="123"/>
      <c r="BX428" s="123">
        <f>(BW428/12*2*$E428*$G428*$H428*$M428*$BX$11)+(BW428/12*10*$F428*$G428*$I428*$M428*$BX$11)</f>
        <v>0</v>
      </c>
      <c r="BY428" s="123"/>
      <c r="BZ428" s="123">
        <f>(BY428/12*2*$E428*$G428*$H428*$M428*$BZ$11)+(BY428/12*10*$F428*$G428*$I428*$M428*$BZ$11)</f>
        <v>0</v>
      </c>
      <c r="CA428" s="123">
        <v>1</v>
      </c>
      <c r="CB428" s="123">
        <f>(CA428/12*2*$E428*$G428*$H428*$M428*$CB$11)+(CA428/12*10*$F428*$G428*$I428*$M428*$CB$11)</f>
        <v>231396.69279999996</v>
      </c>
      <c r="CC428" s="123"/>
      <c r="CD428" s="123">
        <f>(CC428/12*2*$E428*$G428*$H428*$M428*$CD$11)+(CC428/12*10*$F428*$G428*$I428*$M428*$CD$11)</f>
        <v>0</v>
      </c>
      <c r="CE428" s="123">
        <v>1</v>
      </c>
      <c r="CF428" s="123">
        <f>(CE428/12*10*$F428*$G428*$I428*$N428*$CF$11)</f>
        <v>192661.56</v>
      </c>
      <c r="CG428" s="132"/>
      <c r="CH428" s="123">
        <f>(CG428/12*2*$E428*$G428*$H428*$N428*$CH$11)+(CG428/12*10*$F428*$G428*$I428*$N428*$CH$11)</f>
        <v>0</v>
      </c>
      <c r="CI428" s="123"/>
      <c r="CJ428" s="127"/>
      <c r="CK428" s="123"/>
      <c r="CL428" s="123">
        <f>(CK428/12*2*$E428*$G428*$H428*$N428*$CL$11)+(CK428/12*10*$F428*$G428*$I428*$N428*$CL$12)</f>
        <v>0</v>
      </c>
      <c r="CM428" s="130"/>
      <c r="CN428" s="123">
        <f>(CM428/12*2*$E428*$G428*$H428*$N428*$CN$11)+(CM428/12*10*$F428*$G428*$I428*$N428*$CN$11)</f>
        <v>0</v>
      </c>
      <c r="CO428" s="123"/>
      <c r="CP428" s="123">
        <f>(CO428/12*2*$E428*$G428*$H428*$N428*$CP$11)+(CO428/12*10*$F428*$G428*$I428*$N428*$CP$11)</f>
        <v>0</v>
      </c>
      <c r="CQ428" s="123"/>
      <c r="CR428" s="123">
        <f>(CQ428/12*2*$E428*$G428*$H428*$O428*$CR$11)+(CQ428/12*10*$F428*$G428*$I428*$O428*$CR$11)</f>
        <v>0</v>
      </c>
      <c r="CS428" s="123"/>
      <c r="CT428" s="133">
        <f>(CS428/12*2*$E428*$G428*$H428*$P428*$CT$11)+(CS428/12*10*$F428*$G428*$I428*$P428*$CT$11)</f>
        <v>0</v>
      </c>
      <c r="CU428" s="127"/>
      <c r="CV428" s="123"/>
      <c r="CW428" s="126">
        <f t="shared" si="546"/>
        <v>62</v>
      </c>
      <c r="CX428" s="126">
        <f t="shared" si="546"/>
        <v>13825783.377466669</v>
      </c>
    </row>
    <row r="429" spans="1:102" ht="18.75" x14ac:dyDescent="0.25">
      <c r="A429" s="91"/>
      <c r="B429" s="116">
        <v>354</v>
      </c>
      <c r="C429" s="117" t="s">
        <v>976</v>
      </c>
      <c r="D429" s="161" t="s">
        <v>977</v>
      </c>
      <c r="E429" s="95">
        <v>28004</v>
      </c>
      <c r="F429" s="96">
        <v>29405</v>
      </c>
      <c r="G429" s="119">
        <v>11.11</v>
      </c>
      <c r="H429" s="110">
        <v>0.95</v>
      </c>
      <c r="I429" s="110">
        <v>0.9</v>
      </c>
      <c r="J429" s="238"/>
      <c r="K429" s="238"/>
      <c r="L429" s="63"/>
      <c r="M429" s="120">
        <v>1.4</v>
      </c>
      <c r="N429" s="120">
        <v>1.68</v>
      </c>
      <c r="O429" s="120">
        <v>2.23</v>
      </c>
      <c r="P429" s="121">
        <v>2.57</v>
      </c>
      <c r="Q429" s="122"/>
      <c r="R429" s="123">
        <f>(Q429/12*2*$E429*$G429*$H429*$M429*$R$11)+(Q429/12*10*$F429*$G429*$I429*$M429*$R$11)</f>
        <v>0</v>
      </c>
      <c r="S429" s="124">
        <v>20</v>
      </c>
      <c r="T429" s="125">
        <f>(S429/12*2*$E429*$G429*$H429*$M429*$R$11)+(S429/12*10*$F429*$G429*$I429*$M429*$R$11)</f>
        <v>9063778.7907333337</v>
      </c>
      <c r="U429" s="123"/>
      <c r="V429" s="123">
        <f>(U429/12*2*$E429*$G429*$H429*$M429*$V$11)+(U429/12*10*$F429*$G429*$I429*$M429*$V$12)</f>
        <v>0</v>
      </c>
      <c r="W429" s="123"/>
      <c r="X429" s="126">
        <f>(W429/12*2*$E429*$G429*$H429*$M429*$X$11)+(W429/12*10*$F429*$G429*$I429*$M429*$X$12)</f>
        <v>0</v>
      </c>
      <c r="Y429" s="123"/>
      <c r="Z429" s="123">
        <f>(Y429/12*2*$E429*$G429*$H429*$M429*$Z$11)+(Y429/12*10*$F429*$G429*$I429*$M429*$Z$12)</f>
        <v>0</v>
      </c>
      <c r="AA429" s="123"/>
      <c r="AB429" s="123">
        <f>(AA429/12*2*$E429*$G429*$H429*$M429*$AB$11)+(AA429/12*10*$F429*$G429*$I429*$M429*$AB$11)</f>
        <v>0</v>
      </c>
      <c r="AC429" s="123"/>
      <c r="AD429" s="123"/>
      <c r="AE429" s="123"/>
      <c r="AF429" s="123">
        <f>(AE429/12*2*$E429*$G429*$H429*$M429*$AF$11)+(AE429/12*10*$F429*$G429*$I429*$M429*$AF$11)</f>
        <v>0</v>
      </c>
      <c r="AG429" s="123">
        <v>0</v>
      </c>
      <c r="AH429" s="126">
        <f>(AG429/12*2*$E429*$G429*$H429*$M429*$AH$11)+(AG429/12*10*$F429*$G429*$I429*$M429*$AH$11)</f>
        <v>0</v>
      </c>
      <c r="AI429" s="123"/>
      <c r="AJ429" s="123">
        <f t="shared" si="547"/>
        <v>0</v>
      </c>
      <c r="AK429" s="123"/>
      <c r="AL429" s="123">
        <f t="shared" si="548"/>
        <v>0</v>
      </c>
      <c r="AM429" s="132"/>
      <c r="AN429" s="123">
        <f>(AM429/12*2*$E429*$G429*$H429*$N429*$AN$11)+(AM429/12*10*$F429*$G429*$I429*$N429*$AN$12)</f>
        <v>0</v>
      </c>
      <c r="AO429" s="130"/>
      <c r="AP429" s="127">
        <f>(AO429/12*2*$E429*$G429*$H429*$N429*$AP$11)+(AO429/12*10*$F429*$G429*$I429*$N429*$AP$11)</f>
        <v>0</v>
      </c>
      <c r="AQ429" s="127">
        <v>0</v>
      </c>
      <c r="AR429" s="127">
        <v>0</v>
      </c>
      <c r="AS429" s="123"/>
      <c r="AT429" s="123"/>
      <c r="AU429" s="123"/>
      <c r="AV429" s="126"/>
      <c r="AW429" s="123"/>
      <c r="AX429" s="123">
        <f>(AW429/12*2*$E429*$G429*$H429*$M429*$AX$11)+(AW429/12*10*$F429*$G429*$I429*$M429*$AX$12)</f>
        <v>0</v>
      </c>
      <c r="AY429" s="123">
        <v>3</v>
      </c>
      <c r="AZ429" s="123">
        <f>(AY429/12*2*$E429*$G429*$H429*$N429*$AZ$11)+(AY429/12*10*$F429*$G429*$I429*$N429*$AZ$11)</f>
        <v>1631480.1823320002</v>
      </c>
      <c r="BA429" s="123"/>
      <c r="BB429" s="123">
        <f>(BA429/12*2*$E429*$G429*$H429*$N429*$BB$11)+(BA429/12*10*$F429*$G429*$I429*$N429*$BB$12)</f>
        <v>0</v>
      </c>
      <c r="BC429" s="123"/>
      <c r="BD429" s="126"/>
      <c r="BE429" s="123"/>
      <c r="BF429" s="123">
        <f>(BE429/12*10*$F429*$G429*$I429*$N429*$BF$12)</f>
        <v>0</v>
      </c>
      <c r="BG429" s="123"/>
      <c r="BH429" s="123">
        <f>(BG429/12*2*$E429*$G429*$H429*$N429*$BH$11)+(BG429/12*10*$F429*$G429*$I429*$N429*$BH$11)</f>
        <v>0</v>
      </c>
      <c r="BI429" s="123"/>
      <c r="BJ429" s="126">
        <f>(BI429/12*2*$E429*$G429*$H429*$N429*$BJ$11)+(BI429/12*10*$F429*$G429*$I429*$N429*$BJ$11)</f>
        <v>0</v>
      </c>
      <c r="BK429" s="123">
        <v>3</v>
      </c>
      <c r="BL429" s="127">
        <f>(BK429/12*2*$E429*$G429*$H429*$N429*$BL$11)+(BK429/12*10*$F429*$G429*$I429*$N429*$BL$11)</f>
        <v>1779796.5625439999</v>
      </c>
      <c r="BM429" s="123"/>
      <c r="BN429" s="123">
        <f>(BM429/12*2*$E429*$G429*$H429*$M429*$BN$11)+(BM429/12*10*$F429*$G429*$I429*$M429*$BN$11)</f>
        <v>0</v>
      </c>
      <c r="BO429" s="123"/>
      <c r="BP429" s="123">
        <f>(BO429/12*2*$E429*$G429*$H429*$M429*$BP$11)+(BO429/12*10*$F429*$G429*$I429*$M429*$BP$12)</f>
        <v>0</v>
      </c>
      <c r="BQ429" s="123"/>
      <c r="BR429" s="123">
        <f>(BQ429/12*2*$E429*$G429*$H429*$M429*$BR$11)+(BQ429/12*10*$F429*$G429*$I429*$M429*$BR$11)</f>
        <v>0</v>
      </c>
      <c r="BS429" s="123"/>
      <c r="BT429" s="123">
        <f>(BS429/12*2*$E429*$G429*$H429*$N429*$BT$11)+(BS429/12*10*$F429*$G429*$I429*$N429*$BT$11)</f>
        <v>0</v>
      </c>
      <c r="BU429" s="123"/>
      <c r="BV429" s="126">
        <f>(BU429/12*2*$E429*$G429*$H429*$M429*$BV$11)+(BU429/12*10*$F429*$G429*$I429*$M429*$BV$11)</f>
        <v>0</v>
      </c>
      <c r="BW429" s="123"/>
      <c r="BX429" s="123">
        <f>(BW429/12*2*$E429*$G429*$H429*$M429*$BX$11)+(BW429/12*10*$F429*$G429*$I429*$M429*$BX$11)</f>
        <v>0</v>
      </c>
      <c r="BY429" s="123"/>
      <c r="BZ429" s="123">
        <f>(BY429/12*2*$E429*$G429*$H429*$M429*$BZ$11)+(BY429/12*10*$F429*$G429*$I429*$M429*$BZ$11)</f>
        <v>0</v>
      </c>
      <c r="CA429" s="123"/>
      <c r="CB429" s="123">
        <f>(CA429/12*2*$E429*$G429*$H429*$M429*$CB$11)+(CA429/12*10*$F429*$G429*$I429*$M429*$CB$11)</f>
        <v>0</v>
      </c>
      <c r="CC429" s="123"/>
      <c r="CD429" s="123">
        <f>(CC429/12*2*$E429*$G429*$H429*$M429*$CD$11)+(CC429/12*10*$F429*$G429*$I429*$M429*$CD$11)</f>
        <v>0</v>
      </c>
      <c r="CE429" s="123">
        <v>1</v>
      </c>
      <c r="CF429" s="123">
        <f>(CE429/12*10*$F429*$G429*$I429*$N429*$CF$11)</f>
        <v>411628.83299999993</v>
      </c>
      <c r="CG429" s="132"/>
      <c r="CH429" s="123">
        <f>(CG429/12*2*$E429*$G429*$H429*$N429*$CH$11)+(CG429/12*10*$F429*$G429*$I429*$N429*$CH$11)</f>
        <v>0</v>
      </c>
      <c r="CI429" s="123"/>
      <c r="CJ429" s="127"/>
      <c r="CK429" s="123"/>
      <c r="CL429" s="123">
        <f>(CK429/12*2*$E429*$G429*$H429*$N429*$CL$11)+(CK429/12*10*$F429*$G429*$I429*$N429*$CL$12)</f>
        <v>0</v>
      </c>
      <c r="CM429" s="130"/>
      <c r="CN429" s="123">
        <f>(CM429/12*2*$E429*$G429*$H429*$N429*$CN$11)+(CM429/12*10*$F429*$G429*$I429*$N429*$CN$11)</f>
        <v>0</v>
      </c>
      <c r="CO429" s="123"/>
      <c r="CP429" s="123">
        <f>(CO429/12*2*$E429*$G429*$H429*$N429*$CP$11)+(CO429/12*10*$F429*$G429*$I429*$N429*$CP$11)</f>
        <v>0</v>
      </c>
      <c r="CQ429" s="123"/>
      <c r="CR429" s="123">
        <f>(CQ429/12*2*$E429*$G429*$H429*$O429*$CR$11)+(CQ429/12*10*$F429*$G429*$I429*$O429*$CR$11)</f>
        <v>0</v>
      </c>
      <c r="CS429" s="123"/>
      <c r="CT429" s="133">
        <f>(CS429/12*2*$E429*$G429*$H429*$P429*$CT$11)+(CS429/12*10*$F429*$G429*$I429*$P429*$CT$11)</f>
        <v>0</v>
      </c>
      <c r="CU429" s="127"/>
      <c r="CV429" s="123"/>
      <c r="CW429" s="126">
        <f t="shared" si="546"/>
        <v>27</v>
      </c>
      <c r="CX429" s="126">
        <f t="shared" si="546"/>
        <v>12886684.368609333</v>
      </c>
    </row>
    <row r="430" spans="1:102" ht="30" customHeight="1" x14ac:dyDescent="0.25">
      <c r="A430" s="91"/>
      <c r="B430" s="116">
        <v>355</v>
      </c>
      <c r="C430" s="117" t="s">
        <v>978</v>
      </c>
      <c r="D430" s="161" t="s">
        <v>979</v>
      </c>
      <c r="E430" s="95">
        <v>28004</v>
      </c>
      <c r="F430" s="96">
        <v>29405</v>
      </c>
      <c r="G430" s="152">
        <v>14.07</v>
      </c>
      <c r="H430" s="107">
        <v>1</v>
      </c>
      <c r="I430" s="110">
        <v>0.95</v>
      </c>
      <c r="J430" s="108"/>
      <c r="K430" s="108"/>
      <c r="L430" s="63"/>
      <c r="M430" s="120">
        <v>1.4</v>
      </c>
      <c r="N430" s="120">
        <v>1.68</v>
      </c>
      <c r="O430" s="120">
        <v>2.23</v>
      </c>
      <c r="P430" s="121">
        <v>2.57</v>
      </c>
      <c r="Q430" s="122"/>
      <c r="R430" s="123">
        <f>(Q430/12*2*$E430*$G430*$H430*$M430*$R$11)+(Q430/12*10*$F430*$G430*$I430*$M430*$R$11)</f>
        <v>0</v>
      </c>
      <c r="S430" s="124">
        <v>9</v>
      </c>
      <c r="T430" s="125">
        <f>(S430/12*2*$E430*$G430*$H430*$M430*$R$11)+(S430/12*10*$F430*$G430*$I430*$M430*$R$11)</f>
        <v>5449811.9271750003</v>
      </c>
      <c r="U430" s="123"/>
      <c r="V430" s="123">
        <f>(U430/12*2*$E430*$G430*$H430*$M430*$V$11)+(U430/12*10*$F430*$G430*$I430*$M430*$V$12)</f>
        <v>0</v>
      </c>
      <c r="W430" s="123"/>
      <c r="X430" s="126">
        <f>(W430/12*2*$E430*$G430*$H430*$M430*$X$11)+(W430/12*10*$F430*$G430*$I430*$M430*$X$12)</f>
        <v>0</v>
      </c>
      <c r="Y430" s="123"/>
      <c r="Z430" s="123">
        <f>(Y430/12*2*$E430*$G430*$H430*$M430*$Z$11)+(Y430/12*10*$F430*$G430*$I430*$M430*$Z$12)</f>
        <v>0</v>
      </c>
      <c r="AA430" s="123"/>
      <c r="AB430" s="123">
        <f>(AA430/12*2*$E430*$G430*$H430*$M430*$AB$11)+(AA430/12*10*$F430*$G430*$I430*$M430*$AB$11)</f>
        <v>0</v>
      </c>
      <c r="AC430" s="123"/>
      <c r="AD430" s="123"/>
      <c r="AE430" s="123"/>
      <c r="AF430" s="123">
        <f>(AE430/12*2*$E430*$G430*$H430*$M430*$AF$11)+(AE430/12*10*$F430*$G430*$I430*$M430*$AF$11)</f>
        <v>0</v>
      </c>
      <c r="AG430" s="123">
        <v>0</v>
      </c>
      <c r="AH430" s="126">
        <f>(AG430/12*2*$E430*$G430*$H430*$M430*$AH$11)+(AG430/12*10*$F430*$G430*$I430*$M430*$AH$11)</f>
        <v>0</v>
      </c>
      <c r="AI430" s="123"/>
      <c r="AJ430" s="123">
        <f t="shared" si="547"/>
        <v>0</v>
      </c>
      <c r="AK430" s="123"/>
      <c r="AL430" s="123">
        <f t="shared" si="548"/>
        <v>0</v>
      </c>
      <c r="AM430" s="132"/>
      <c r="AN430" s="123">
        <f>(AM430/12*2*$E430*$G430*$H430*$N430*$AN$11)+(AM430/12*10*$F430*$G430*$I430*$N430*$AN$12)</f>
        <v>0</v>
      </c>
      <c r="AO430" s="130"/>
      <c r="AP430" s="127">
        <f>(AO430/12*2*$E430*$G430*$H430*$N430*$AP$11)+(AO430/12*10*$F430*$G430*$I430*$N430*$AP$11)</f>
        <v>0</v>
      </c>
      <c r="AQ430" s="127">
        <v>0</v>
      </c>
      <c r="AR430" s="127">
        <v>0</v>
      </c>
      <c r="AS430" s="123"/>
      <c r="AT430" s="123"/>
      <c r="AU430" s="123"/>
      <c r="AV430" s="126"/>
      <c r="AW430" s="123"/>
      <c r="AX430" s="123">
        <f>(AW430/12*2*$E430*$G430*$H430*$M430*$AX$11)+(AW430/12*10*$F430*$G430*$I430*$M430*$AX$12)</f>
        <v>0</v>
      </c>
      <c r="AY430" s="123">
        <v>1</v>
      </c>
      <c r="AZ430" s="123">
        <f>(AY430/12*2*$E430*$G430*$H430*$N430*$AZ$11)+(AY430/12*10*$F430*$G430*$I430*$N430*$AZ$11)</f>
        <v>726641.59028999996</v>
      </c>
      <c r="BA430" s="123"/>
      <c r="BB430" s="123">
        <f>(BA430/12*2*$E430*$G430*$H430*$N430*$BB$11)+(BA430/12*10*$F430*$G430*$I430*$N430*$BB$12)</f>
        <v>0</v>
      </c>
      <c r="BC430" s="123"/>
      <c r="BD430" s="126"/>
      <c r="BE430" s="123"/>
      <c r="BF430" s="123">
        <f>(BE430/12*10*$F430*$G430*$I430*$N430*$BF$12)</f>
        <v>0</v>
      </c>
      <c r="BG430" s="123"/>
      <c r="BH430" s="123">
        <f>(BG430/12*2*$E430*$G430*$H430*$N430*$BH$11)+(BG430/12*10*$F430*$G430*$I430*$N430*$BH$11)</f>
        <v>0</v>
      </c>
      <c r="BI430" s="123"/>
      <c r="BJ430" s="126">
        <f>(BI430/12*2*$E430*$G430*$H430*$N430*$BJ$11)+(BI430/12*10*$F430*$G430*$I430*$N430*$BJ$11)</f>
        <v>0</v>
      </c>
      <c r="BK430" s="123"/>
      <c r="BL430" s="127">
        <f>(BK430/12*2*$E430*$G430*$H430*$N430*$BL$11)+(BK430/12*10*$F430*$G430*$I430*$N430*$BL$11)</f>
        <v>0</v>
      </c>
      <c r="BM430" s="123"/>
      <c r="BN430" s="123">
        <f>(BM430/12*2*$E430*$G430*$H430*$M430*$BN$11)+(BM430/12*10*$F430*$G430*$I430*$M430*$BN$11)</f>
        <v>0</v>
      </c>
      <c r="BO430" s="123"/>
      <c r="BP430" s="123">
        <f>(BO430/12*2*$E430*$G430*$H430*$M430*$BP$11)+(BO430/12*10*$F430*$G430*$I430*$M430*$BP$12)</f>
        <v>0</v>
      </c>
      <c r="BQ430" s="123"/>
      <c r="BR430" s="123">
        <f>(BQ430/12*2*$E430*$G430*$H430*$M430*$BR$11)+(BQ430/12*10*$F430*$G430*$I430*$M430*$BR$11)</f>
        <v>0</v>
      </c>
      <c r="BS430" s="123"/>
      <c r="BT430" s="123">
        <f>(BS430/12*2*$E430*$G430*$H430*$N430*$BT$11)+(BS430/12*10*$F430*$G430*$I430*$N430*$BT$11)</f>
        <v>0</v>
      </c>
      <c r="BU430" s="123"/>
      <c r="BV430" s="126">
        <f>(BU430/12*2*$E430*$G430*$H430*$M430*$BV$11)+(BU430/12*10*$F430*$G430*$I430*$M430*$BV$11)</f>
        <v>0</v>
      </c>
      <c r="BW430" s="123"/>
      <c r="BX430" s="123">
        <f>(BW430/12*2*$E430*$G430*$H430*$M430*$BX$11)+(BW430/12*10*$F430*$G430*$I430*$M430*$BX$11)</f>
        <v>0</v>
      </c>
      <c r="BY430" s="123"/>
      <c r="BZ430" s="123">
        <f>(BY430/12*2*$E430*$G430*$H430*$M430*$BZ$11)+(BY430/12*10*$F430*$G430*$I430*$M430*$BZ$11)</f>
        <v>0</v>
      </c>
      <c r="CA430" s="123"/>
      <c r="CB430" s="123">
        <f>(CA430/12*2*$E430*$G430*$H430*$M430*$CB$11)+(CA430/12*10*$F430*$G430*$I430*$M430*$CB$11)</f>
        <v>0</v>
      </c>
      <c r="CC430" s="123"/>
      <c r="CD430" s="123">
        <f>(CC430/12*2*$E430*$G430*$H430*$M430*$CD$11)+(CC430/12*10*$F430*$G430*$I430*$M430*$CD$11)</f>
        <v>0</v>
      </c>
      <c r="CE430" s="123">
        <v>1</v>
      </c>
      <c r="CF430" s="123">
        <f>(CE430/12*10*$F430*$G430*$I430*$N430*$CF$11)</f>
        <v>550258.70549999992</v>
      </c>
      <c r="CG430" s="132"/>
      <c r="CH430" s="123">
        <f>(CG430/12*2*$E430*$G430*$H430*$N430*$CH$11)+(CG430/12*10*$F430*$G430*$I430*$N430*$CH$11)</f>
        <v>0</v>
      </c>
      <c r="CI430" s="123"/>
      <c r="CJ430" s="127"/>
      <c r="CK430" s="123"/>
      <c r="CL430" s="123">
        <f>(CK430/12*2*$E430*$G430*$H430*$N430*$CL$11)+(CK430/12*10*$F430*$G430*$I430*$N430*$CL$12)</f>
        <v>0</v>
      </c>
      <c r="CM430" s="130"/>
      <c r="CN430" s="123">
        <f>(CM430/12*2*$E430*$G430*$H430*$N430*$CN$11)+(CM430/12*10*$F430*$G430*$I430*$N430*$CN$11)</f>
        <v>0</v>
      </c>
      <c r="CO430" s="123"/>
      <c r="CP430" s="123">
        <f>(CO430/12*2*$E430*$G430*$H430*$N430*$CP$11)+(CO430/12*10*$F430*$G430*$I430*$N430*$CP$11)</f>
        <v>0</v>
      </c>
      <c r="CQ430" s="123"/>
      <c r="CR430" s="123">
        <f>(CQ430/12*2*$E430*$G430*$H430*$O430*$CR$11)+(CQ430/12*10*$F430*$G430*$I430*$O430*$CR$11)</f>
        <v>0</v>
      </c>
      <c r="CS430" s="123"/>
      <c r="CT430" s="133">
        <f>(CS430/12*2*$E430*$G430*$H430*$P430*$CT$11)+(CS430/12*10*$F430*$G430*$I430*$P430*$CT$11)</f>
        <v>0</v>
      </c>
      <c r="CU430" s="127"/>
      <c r="CV430" s="123"/>
      <c r="CW430" s="126">
        <f t="shared" si="546"/>
        <v>11</v>
      </c>
      <c r="CX430" s="126">
        <f t="shared" si="546"/>
        <v>6726712.2229650002</v>
      </c>
    </row>
    <row r="431" spans="1:102" ht="15.75" customHeight="1" x14ac:dyDescent="0.25">
      <c r="A431" s="109">
        <v>34</v>
      </c>
      <c r="B431" s="150"/>
      <c r="C431" s="93" t="s">
        <v>980</v>
      </c>
      <c r="D431" s="164" t="s">
        <v>981</v>
      </c>
      <c r="E431" s="95">
        <v>28004</v>
      </c>
      <c r="F431" s="96">
        <v>29405</v>
      </c>
      <c r="G431" s="151">
        <v>1.18</v>
      </c>
      <c r="H431" s="110"/>
      <c r="I431" s="108"/>
      <c r="J431" s="108"/>
      <c r="K431" s="108"/>
      <c r="L431" s="111"/>
      <c r="M431" s="112">
        <v>1.4</v>
      </c>
      <c r="N431" s="112">
        <v>1.68</v>
      </c>
      <c r="O431" s="112">
        <v>2.23</v>
      </c>
      <c r="P431" s="113">
        <v>2.57</v>
      </c>
      <c r="Q431" s="103">
        <f>SUM(Q432:Q436)</f>
        <v>529</v>
      </c>
      <c r="R431" s="104">
        <f>SUM(R432:R436)</f>
        <v>22125159.84987</v>
      </c>
      <c r="S431" s="114">
        <f t="shared" ref="S431:CD431" si="549">SUM(S432:S436)</f>
        <v>1</v>
      </c>
      <c r="T431" s="115">
        <f t="shared" si="549"/>
        <v>34304.941568333328</v>
      </c>
      <c r="U431" s="104">
        <f t="shared" si="549"/>
        <v>0</v>
      </c>
      <c r="V431" s="104">
        <f t="shared" si="549"/>
        <v>0</v>
      </c>
      <c r="W431" s="104">
        <f t="shared" si="549"/>
        <v>0</v>
      </c>
      <c r="X431" s="104">
        <f t="shared" si="549"/>
        <v>0</v>
      </c>
      <c r="Y431" s="104">
        <f t="shared" si="549"/>
        <v>2</v>
      </c>
      <c r="Z431" s="104">
        <f t="shared" si="549"/>
        <v>139127.8184333333</v>
      </c>
      <c r="AA431" s="104">
        <f t="shared" si="549"/>
        <v>0</v>
      </c>
      <c r="AB431" s="104">
        <f t="shared" si="549"/>
        <v>0</v>
      </c>
      <c r="AC431" s="104">
        <f t="shared" si="549"/>
        <v>0</v>
      </c>
      <c r="AD431" s="104">
        <f t="shared" si="549"/>
        <v>0</v>
      </c>
      <c r="AE431" s="104">
        <f t="shared" si="549"/>
        <v>0</v>
      </c>
      <c r="AF431" s="105">
        <f t="shared" si="549"/>
        <v>0</v>
      </c>
      <c r="AG431" s="104">
        <f t="shared" si="549"/>
        <v>5</v>
      </c>
      <c r="AH431" s="104">
        <f t="shared" si="549"/>
        <v>171524.70784166665</v>
      </c>
      <c r="AI431" s="106">
        <f t="shared" si="549"/>
        <v>0</v>
      </c>
      <c r="AJ431" s="104">
        <f t="shared" si="549"/>
        <v>0</v>
      </c>
      <c r="AK431" s="104">
        <f t="shared" si="549"/>
        <v>510</v>
      </c>
      <c r="AL431" s="104">
        <f t="shared" si="549"/>
        <v>30798063.015999999</v>
      </c>
      <c r="AM431" s="104">
        <f t="shared" si="549"/>
        <v>0</v>
      </c>
      <c r="AN431" s="104">
        <f t="shared" si="549"/>
        <v>0</v>
      </c>
      <c r="AO431" s="106">
        <f t="shared" si="549"/>
        <v>0</v>
      </c>
      <c r="AP431" s="104">
        <f t="shared" si="549"/>
        <v>0</v>
      </c>
      <c r="AQ431" s="104">
        <v>0</v>
      </c>
      <c r="AR431" s="104">
        <v>0</v>
      </c>
      <c r="AS431" s="104">
        <f t="shared" si="549"/>
        <v>0</v>
      </c>
      <c r="AT431" s="104">
        <f t="shared" si="549"/>
        <v>0</v>
      </c>
      <c r="AU431" s="104">
        <f t="shared" si="549"/>
        <v>0</v>
      </c>
      <c r="AV431" s="104">
        <f t="shared" si="549"/>
        <v>0</v>
      </c>
      <c r="AW431" s="104">
        <f t="shared" si="549"/>
        <v>0</v>
      </c>
      <c r="AX431" s="104">
        <f t="shared" si="549"/>
        <v>0</v>
      </c>
      <c r="AY431" s="104">
        <f t="shared" si="549"/>
        <v>0</v>
      </c>
      <c r="AZ431" s="104">
        <f t="shared" si="549"/>
        <v>0</v>
      </c>
      <c r="BA431" s="104">
        <f t="shared" si="549"/>
        <v>0</v>
      </c>
      <c r="BB431" s="104">
        <f t="shared" si="549"/>
        <v>0</v>
      </c>
      <c r="BC431" s="104">
        <f t="shared" si="549"/>
        <v>0</v>
      </c>
      <c r="BD431" s="104">
        <f t="shared" si="549"/>
        <v>0</v>
      </c>
      <c r="BE431" s="104">
        <f t="shared" si="549"/>
        <v>4</v>
      </c>
      <c r="BF431" s="104">
        <f t="shared" si="549"/>
        <v>196490.09099999996</v>
      </c>
      <c r="BG431" s="104">
        <f t="shared" si="549"/>
        <v>2</v>
      </c>
      <c r="BH431" s="104">
        <f t="shared" si="549"/>
        <v>67362.430715999988</v>
      </c>
      <c r="BI431" s="104">
        <f t="shared" si="549"/>
        <v>4</v>
      </c>
      <c r="BJ431" s="104">
        <f t="shared" si="549"/>
        <v>179633.14857599998</v>
      </c>
      <c r="BK431" s="104">
        <f t="shared" si="549"/>
        <v>8</v>
      </c>
      <c r="BL431" s="104">
        <f t="shared" si="549"/>
        <v>359266.29715199996</v>
      </c>
      <c r="BM431" s="104">
        <f t="shared" si="549"/>
        <v>0</v>
      </c>
      <c r="BN431" s="104">
        <f t="shared" si="549"/>
        <v>0</v>
      </c>
      <c r="BO431" s="104">
        <f t="shared" si="549"/>
        <v>0</v>
      </c>
      <c r="BP431" s="104">
        <f t="shared" si="549"/>
        <v>0</v>
      </c>
      <c r="BQ431" s="104">
        <f t="shared" si="549"/>
        <v>0</v>
      </c>
      <c r="BR431" s="104">
        <f t="shared" si="549"/>
        <v>0</v>
      </c>
      <c r="BS431" s="104">
        <f t="shared" si="549"/>
        <v>0</v>
      </c>
      <c r="BT431" s="104">
        <f t="shared" si="549"/>
        <v>0</v>
      </c>
      <c r="BU431" s="104">
        <f t="shared" si="549"/>
        <v>0</v>
      </c>
      <c r="BV431" s="104">
        <f t="shared" si="549"/>
        <v>0</v>
      </c>
      <c r="BW431" s="104">
        <f t="shared" si="549"/>
        <v>0</v>
      </c>
      <c r="BX431" s="104">
        <f t="shared" si="549"/>
        <v>0</v>
      </c>
      <c r="BY431" s="104">
        <f t="shared" si="549"/>
        <v>15</v>
      </c>
      <c r="BZ431" s="104">
        <f t="shared" si="549"/>
        <v>467794.65774999995</v>
      </c>
      <c r="CA431" s="104">
        <f t="shared" si="549"/>
        <v>1</v>
      </c>
      <c r="CB431" s="104">
        <f t="shared" si="549"/>
        <v>37423.572619999992</v>
      </c>
      <c r="CC431" s="104">
        <f t="shared" si="549"/>
        <v>6</v>
      </c>
      <c r="CD431" s="104">
        <f t="shared" si="549"/>
        <v>187117.86309999999</v>
      </c>
      <c r="CE431" s="104">
        <f t="shared" ref="CE431:CX431" si="550">SUM(CE432:CE436)</f>
        <v>54</v>
      </c>
      <c r="CF431" s="104">
        <f t="shared" si="550"/>
        <v>1675599.8174999999</v>
      </c>
      <c r="CG431" s="104">
        <f t="shared" si="550"/>
        <v>0</v>
      </c>
      <c r="CH431" s="104">
        <f t="shared" si="550"/>
        <v>0</v>
      </c>
      <c r="CI431" s="104">
        <f t="shared" si="550"/>
        <v>0</v>
      </c>
      <c r="CJ431" s="104">
        <f t="shared" si="550"/>
        <v>0</v>
      </c>
      <c r="CK431" s="104">
        <f t="shared" si="550"/>
        <v>0</v>
      </c>
      <c r="CL431" s="104">
        <f t="shared" si="550"/>
        <v>0</v>
      </c>
      <c r="CM431" s="104">
        <f t="shared" si="550"/>
        <v>1</v>
      </c>
      <c r="CN431" s="104">
        <f t="shared" si="550"/>
        <v>37423.572619999992</v>
      </c>
      <c r="CO431" s="104">
        <f t="shared" si="550"/>
        <v>0</v>
      </c>
      <c r="CP431" s="104">
        <f t="shared" si="550"/>
        <v>0</v>
      </c>
      <c r="CQ431" s="104">
        <f t="shared" si="550"/>
        <v>4</v>
      </c>
      <c r="CR431" s="104">
        <f t="shared" si="550"/>
        <v>198701.34986333331</v>
      </c>
      <c r="CS431" s="104">
        <f t="shared" si="550"/>
        <v>8</v>
      </c>
      <c r="CT431" s="104">
        <f t="shared" si="550"/>
        <v>457993.24587333325</v>
      </c>
      <c r="CU431" s="104">
        <f t="shared" si="550"/>
        <v>0</v>
      </c>
      <c r="CV431" s="104">
        <f t="shared" si="550"/>
        <v>0</v>
      </c>
      <c r="CW431" s="104">
        <f t="shared" si="550"/>
        <v>1154</v>
      </c>
      <c r="CX431" s="104">
        <f t="shared" si="550"/>
        <v>57132986.380484</v>
      </c>
    </row>
    <row r="432" spans="1:102" ht="45" customHeight="1" x14ac:dyDescent="0.25">
      <c r="A432" s="91"/>
      <c r="B432" s="116">
        <v>356</v>
      </c>
      <c r="C432" s="117" t="s">
        <v>982</v>
      </c>
      <c r="D432" s="227" t="s">
        <v>983</v>
      </c>
      <c r="E432" s="95">
        <v>28004</v>
      </c>
      <c r="F432" s="96">
        <v>29405</v>
      </c>
      <c r="G432" s="119">
        <v>0.89</v>
      </c>
      <c r="H432" s="110">
        <v>0.9</v>
      </c>
      <c r="I432" s="110">
        <v>0.85</v>
      </c>
      <c r="J432" s="108"/>
      <c r="K432" s="108"/>
      <c r="L432" s="63"/>
      <c r="M432" s="120">
        <v>1.4</v>
      </c>
      <c r="N432" s="120">
        <v>1.68</v>
      </c>
      <c r="O432" s="120">
        <v>2.23</v>
      </c>
      <c r="P432" s="121">
        <v>2.57</v>
      </c>
      <c r="Q432" s="122">
        <v>282</v>
      </c>
      <c r="R432" s="123">
        <f>(Q432/12*2*$E432*$G432*$H432*$M432*$R$11)+(Q432/12*10*$F432*$G432*$I432*$M432*$R$11)</f>
        <v>9673993.5222700015</v>
      </c>
      <c r="S432" s="124">
        <v>1</v>
      </c>
      <c r="T432" s="125">
        <f>(S432/12*2*$E432*$G432*$H432*$M432*$R$11)+(S432/12*10*$F432*$G432*$I432*$M432*$R$11)</f>
        <v>34304.941568333328</v>
      </c>
      <c r="U432" s="123"/>
      <c r="V432" s="123">
        <f>(U432/12*2*$E432*$G432*$H432*$M432*$V$11)+(U432/12*10*$F432*$G432*$I432*$M432*$V$12)</f>
        <v>0</v>
      </c>
      <c r="W432" s="123"/>
      <c r="X432" s="126">
        <f>(W432/12*2*$E432*$G432*$H432*$M432*$X$11)+(W432/12*10*$F432*$G432*$I432*$M432*$X$12)</f>
        <v>0</v>
      </c>
      <c r="Y432" s="123"/>
      <c r="Z432" s="123">
        <f>(Y432/12*2*$E432*$G432*$H432*$M432*$Z$11)+(Y432/12*10*$F432*$G432*$I432*$M432*$Z$12)</f>
        <v>0</v>
      </c>
      <c r="AA432" s="123"/>
      <c r="AB432" s="123">
        <f>(AA432/12*2*$E432*$G432*$H432*$M432*$AB$11)+(AA432/12*10*$F432*$G432*$I432*$M432*$AB$11)</f>
        <v>0</v>
      </c>
      <c r="AC432" s="123"/>
      <c r="AD432" s="123"/>
      <c r="AE432" s="123"/>
      <c r="AF432" s="127">
        <f>(AE432/12*2*$E432*$G432*$H432*$M432*$AF$11)+(AE432/12*10*$F432*$G432*$I432*$M432*$AF$11)</f>
        <v>0</v>
      </c>
      <c r="AG432" s="123">
        <v>5</v>
      </c>
      <c r="AH432" s="126">
        <f>(AG432/12*2*$E432*$G432*$H432*$M432*$AH$11)+(AG432/12*10*$F432*$G432*$I432*$M432*$AH$11)</f>
        <v>171524.70784166665</v>
      </c>
      <c r="AI432" s="130"/>
      <c r="AJ432" s="123">
        <f>(AI432/12*2*$E432*$G432*$H432*$M432*$AJ$11)+(AI432/12*5*$F432*$G432*$I432*$M432*$AJ$12)+(AI432/12*5*$F432*$G432*$I432*$M432*$AJ$13)</f>
        <v>0</v>
      </c>
      <c r="AK432" s="123">
        <v>300</v>
      </c>
      <c r="AL432" s="123">
        <f>(AK432/12*2*$E432*$G432*$H432*$N432*$AL$11)+(AK432/12*5*$F432*$G432*$I432*$N432*$AL$12)+(AK432/12*5*$F432*$G432*$I432*$N432*$AL$13)</f>
        <v>14501764.815299999</v>
      </c>
      <c r="AM432" s="132"/>
      <c r="AN432" s="123">
        <f>(AM432/12*2*$E432*$G432*$H432*$N432*$AN$11)+(AM432/12*10*$F432*$G432*$I432*$N432*$AN$12)</f>
        <v>0</v>
      </c>
      <c r="AO432" s="130"/>
      <c r="AP432" s="127">
        <f>(AO432/12*2*$E432*$G432*$H432*$N432*$AP$11)+(AO432/12*10*$F432*$G432*$I432*$N432*$AP$11)</f>
        <v>0</v>
      </c>
      <c r="AQ432" s="127">
        <v>0</v>
      </c>
      <c r="AR432" s="127">
        <v>0</v>
      </c>
      <c r="AS432" s="123"/>
      <c r="AT432" s="123"/>
      <c r="AU432" s="123"/>
      <c r="AV432" s="126"/>
      <c r="AW432" s="123"/>
      <c r="AX432" s="123">
        <f>(AW432/12*2*$E432*$G432*$H432*$M432*$AX$11)+(AW432/12*10*$F432*$G432*$I432*$M432*$AX$12)</f>
        <v>0</v>
      </c>
      <c r="AY432" s="123"/>
      <c r="AZ432" s="123">
        <f>(AY432/12*2*$E432*$G432*$H432*$N432*$AZ$11)+(AY432/12*10*$F432*$G432*$I432*$N432*$AZ$11)</f>
        <v>0</v>
      </c>
      <c r="BA432" s="123"/>
      <c r="BB432" s="123">
        <f>(BA432/12*2*$E432*$G432*$H432*$N432*$BB$11)+(BA432/12*10*$F432*$G432*$I432*$N432*$BB$12)</f>
        <v>0</v>
      </c>
      <c r="BC432" s="123"/>
      <c r="BD432" s="126"/>
      <c r="BE432" s="123">
        <v>2</v>
      </c>
      <c r="BF432" s="123">
        <f>(BE432/12*10*$F432*$G432*$I432*$N432*$BF$12)</f>
        <v>62285.670999999988</v>
      </c>
      <c r="BG432" s="123">
        <v>2</v>
      </c>
      <c r="BH432" s="123">
        <f>(BG432/12*2*$E432*$G432*$H432*$N432*$BH$11)+(BG432/12*10*$F432*$G432*$I432*$N432*$BH$11)</f>
        <v>67362.430715999988</v>
      </c>
      <c r="BI432" s="123">
        <v>4</v>
      </c>
      <c r="BJ432" s="126">
        <f>(BI432/12*2*$E432*$G432*$H432*$N432*$BJ$11)+(BI432/12*10*$F432*$G432*$I432*$N432*$BJ$11)</f>
        <v>179633.14857599998</v>
      </c>
      <c r="BK432" s="123">
        <v>8</v>
      </c>
      <c r="BL432" s="127">
        <f>(BK432/12*2*$E432*$G432*$H432*$N432*$BL$11)+(BK432/12*10*$F432*$G432*$I432*$N432*$BL$11)</f>
        <v>359266.29715199996</v>
      </c>
      <c r="BM432" s="123"/>
      <c r="BN432" s="123">
        <f>(BM432/12*2*$E432*$G432*$H432*$M432*$BN$11)+(BM432/12*10*$F432*$G432*$I432*$M432*$BN$11)</f>
        <v>0</v>
      </c>
      <c r="BO432" s="123"/>
      <c r="BP432" s="123">
        <f>(BO432/12*2*$E432*$G432*$H432*$M432*$BP$11)+(BO432/12*10*$F432*$G432*$I432*$M432*$BP$12)</f>
        <v>0</v>
      </c>
      <c r="BQ432" s="123"/>
      <c r="BR432" s="123">
        <f>(BQ432/12*2*$E432*$G432*$H432*$M432*$BR$11)+(BQ432/12*10*$F432*$G432*$I432*$M432*$BR$11)</f>
        <v>0</v>
      </c>
      <c r="BS432" s="123"/>
      <c r="BT432" s="123">
        <f>(BS432/12*2*$E432*$G432*$H432*$N432*$BT$11)+(BS432/12*10*$F432*$G432*$I432*$N432*$BT$11)</f>
        <v>0</v>
      </c>
      <c r="BU432" s="123"/>
      <c r="BV432" s="126">
        <f>(BU432/12*2*$E432*$G432*$H432*$M432*$BV$11)+(BU432/12*10*$F432*$G432*$I432*$M432*$BV$11)</f>
        <v>0</v>
      </c>
      <c r="BW432" s="123"/>
      <c r="BX432" s="123">
        <f>(BW432/12*2*$E432*$G432*$H432*$M432*$BX$11)+(BW432/12*10*$F432*$G432*$I432*$M432*$BX$11)</f>
        <v>0</v>
      </c>
      <c r="BY432" s="123">
        <v>15</v>
      </c>
      <c r="BZ432" s="123">
        <f>(BY432/12*2*$E432*$G432*$H432*$M432*$BZ$11)+(BY432/12*10*$F432*$G432*$I432*$M432*$BZ$11)</f>
        <v>467794.65774999995</v>
      </c>
      <c r="CA432" s="123">
        <v>1</v>
      </c>
      <c r="CB432" s="123">
        <f>(CA432/12*2*$E432*$G432*$H432*$M432*$CB$11)+(CA432/12*10*$F432*$G432*$I432*$M432*$CB$11)</f>
        <v>37423.572619999992</v>
      </c>
      <c r="CC432" s="123">
        <v>6</v>
      </c>
      <c r="CD432" s="123">
        <f>(CC432/12*2*$E432*$G432*$H432*$M432*$CD$11)+(CC432/12*10*$F432*$G432*$I432*$M432*$CD$11)</f>
        <v>187117.86309999999</v>
      </c>
      <c r="CE432" s="123">
        <v>45</v>
      </c>
      <c r="CF432" s="123">
        <f>(CE432/12*10*$F432*$G432*$I432*$N432*$CF$11)</f>
        <v>1401427.5974999999</v>
      </c>
      <c r="CG432" s="132"/>
      <c r="CH432" s="123">
        <f>(CG432/12*2*$E432*$G432*$H432*$N432*$CH$11)+(CG432/12*10*$F432*$G432*$I432*$N432*$CH$11)</f>
        <v>0</v>
      </c>
      <c r="CI432" s="123"/>
      <c r="CJ432" s="127"/>
      <c r="CK432" s="123"/>
      <c r="CL432" s="123">
        <f>(CK432/12*2*$E432*$G432*$H432*$N432*$CL$11)+(CK432/12*10*$F432*$G432*$I432*$N432*$CL$12)</f>
        <v>0</v>
      </c>
      <c r="CM432" s="130">
        <v>1</v>
      </c>
      <c r="CN432" s="123">
        <f>(CM432/12*2*$E432*$G432*$H432*$N432*$CN$11)+(CM432/12*10*$F432*$G432*$I432*$N432*$CN$11)</f>
        <v>37423.572619999992</v>
      </c>
      <c r="CO432" s="123"/>
      <c r="CP432" s="123">
        <f>(CO432/12*2*$E432*$G432*$H432*$N432*$CP$11)+(CO432/12*10*$F432*$G432*$I432*$N432*$CP$11)</f>
        <v>0</v>
      </c>
      <c r="CQ432" s="123">
        <v>4</v>
      </c>
      <c r="CR432" s="123">
        <f>(CQ432/12*2*$E432*$G432*$H432*$O432*$CR$11)+(CQ432/12*10*$F432*$G432*$I432*$O432*$CR$11)</f>
        <v>198701.34986333331</v>
      </c>
      <c r="CS432" s="123">
        <v>8</v>
      </c>
      <c r="CT432" s="133">
        <f>(CS432/12*2*$E432*$G432*$H432*$P432*$CT$11)+(CS432/12*10*$F432*$G432*$I432*$P432*$CT$11)</f>
        <v>457993.24587333325</v>
      </c>
      <c r="CU432" s="127"/>
      <c r="CV432" s="123"/>
      <c r="CW432" s="126">
        <f t="shared" ref="CW432:CX436" si="551">SUM(Q432,S432,U432,W432,Y432,AA432,AC432,AE432,AG432,AM432,BQ432,AI432,AU432,CC432,AW432,AY432,AK432,BC432,AO432,AQ432,BE432,CE432,BG432,BI432,BK432,BS432,BM432,BO432,BU432,BW432,BY432,CA432,CG432,BA432,AS432,CI432,CK432,CM432,CO432,CQ432,CS432,CU432)</f>
        <v>684</v>
      </c>
      <c r="CX432" s="126">
        <f t="shared" si="551"/>
        <v>27838017.393750664</v>
      </c>
    </row>
    <row r="433" spans="1:102" ht="30" x14ac:dyDescent="0.25">
      <c r="A433" s="91"/>
      <c r="B433" s="116">
        <v>357</v>
      </c>
      <c r="C433" s="117" t="s">
        <v>984</v>
      </c>
      <c r="D433" s="161" t="s">
        <v>985</v>
      </c>
      <c r="E433" s="95">
        <v>28004</v>
      </c>
      <c r="F433" s="96">
        <v>29405</v>
      </c>
      <c r="G433" s="119">
        <v>0.74</v>
      </c>
      <c r="H433" s="107">
        <v>1</v>
      </c>
      <c r="I433" s="108"/>
      <c r="J433" s="108"/>
      <c r="K433" s="108"/>
      <c r="L433" s="63"/>
      <c r="M433" s="120">
        <v>1.4</v>
      </c>
      <c r="N433" s="120">
        <v>1.68</v>
      </c>
      <c r="O433" s="120">
        <v>2.23</v>
      </c>
      <c r="P433" s="121">
        <v>2.57</v>
      </c>
      <c r="Q433" s="122">
        <v>82</v>
      </c>
      <c r="R433" s="123">
        <f>(Q433/12*2*$E433*$G433*$H433*$M433*$R$11)+(Q433/12*10*$F433*$G433*$H433*$M433*$R$11)</f>
        <v>2725994.9948</v>
      </c>
      <c r="S433" s="124"/>
      <c r="T433" s="125">
        <f>(S433/12*2*$E433*$G433*$H433*$M433*$R$11)+(S433/12*10*$F433*$G433*$H433*$M433*$R$11)</f>
        <v>0</v>
      </c>
      <c r="U433" s="123"/>
      <c r="V433" s="123">
        <f>(U433/12*2*$E433*$G433*$H433*$M433*$V$11)+(U433/12*10*$F433*$G433*$H433*$M433*$V$12)</f>
        <v>0</v>
      </c>
      <c r="W433" s="123"/>
      <c r="X433" s="126">
        <f>(W433/12*2*$E433*$G433*$H433*$M433*$X$11)+(W433/12*10*$F433*$G433*$H433*$M433*$X$12)</f>
        <v>0</v>
      </c>
      <c r="Y433" s="123"/>
      <c r="Z433" s="123">
        <f>(Y433/12*2*$E433*$G433*$H433*$M433*$Z$11)+(Y433/12*10*$F433*$G433*$H433*$M433*$Z$12)</f>
        <v>0</v>
      </c>
      <c r="AA433" s="123"/>
      <c r="AB433" s="123">
        <f>(AA433/12*2*$E433*$G433*$H433*$M433*$AB$11)+(AA433/12*10*$F433*$G433*$H433*$M433*$AB$11)</f>
        <v>0</v>
      </c>
      <c r="AC433" s="123"/>
      <c r="AD433" s="123"/>
      <c r="AE433" s="123"/>
      <c r="AF433" s="123">
        <f>(AE433/12*2*$E433*$G433*$H433*$M433*$AF$11)+(AE433/12*10*$F433*$G433*$H433*$M433*$AF$11)</f>
        <v>0</v>
      </c>
      <c r="AG433" s="135">
        <v>0</v>
      </c>
      <c r="AH433" s="136">
        <f>(AG433/12*2*$E433*$G433*$H433*$M433*$AH$11)+(AG433/12*10*$F433*$G433*$H433*$M433*$AH$11)</f>
        <v>0</v>
      </c>
      <c r="AI433" s="123"/>
      <c r="AJ433" s="123">
        <f t="shared" ref="AJ433:AJ436" si="552">(AI433/12*2*$E433*$G433*$H433*$M433*$AJ$11)+(AI433/12*5*$F433*$G433*$H433*$M433*$AJ$12)+(AI433/12*5*$F433*$G433*$H433*$M433*$AJ$13)</f>
        <v>0</v>
      </c>
      <c r="AK433" s="123">
        <f>10+28</f>
        <v>38</v>
      </c>
      <c r="AL433" s="123">
        <f t="shared" ref="AL433:AL436" si="553">(AK433/12*2*$E433*$G433*$H433*$N433*$AL$11)+(AK433/12*5*$F433*$G433*$H433*$N433*$AL$12)++(AK433/12*5*$F433*$G433*$H433*$N433*$AL$13)</f>
        <v>1779964.6743199998</v>
      </c>
      <c r="AM433" s="132"/>
      <c r="AN433" s="123">
        <f>(AM433/12*2*$E433*$G433*$H433*$N433*$AN$11)+(AM433/12*10*$F433*$G433*$H433*$N433*$AN$12)</f>
        <v>0</v>
      </c>
      <c r="AO433" s="130"/>
      <c r="AP433" s="127">
        <f>(AO433/12*2*$E433*$G433*$H433*$N433*$AP$11)+(AO433/12*10*$F433*$G433*$H433*$N433*$AP$11)</f>
        <v>0</v>
      </c>
      <c r="AQ433" s="127">
        <v>0</v>
      </c>
      <c r="AR433" s="127">
        <v>0</v>
      </c>
      <c r="AS433" s="123"/>
      <c r="AT433" s="123">
        <f>(AS433/12*2*$E433*$G433*$H433*$M433*$AT$11)+(AS433/12*10*$F433*$G433*$H433*$M433*$AT$11)</f>
        <v>0</v>
      </c>
      <c r="AU433" s="123"/>
      <c r="AV433" s="126">
        <f>(AU433/12*2*$E433*$G433*$H433*$M433*$AV$11)+(AU433/12*10*$F433*$G433*$H433*$M433*$AV$12)</f>
        <v>0</v>
      </c>
      <c r="AW433" s="123"/>
      <c r="AX433" s="123">
        <f>(AW433/12*2*$E433*$G433*$H433*$M433*$AX$11)+(AW433/12*10*$F433*$G433*$H433*$M433*$AX$12)</f>
        <v>0</v>
      </c>
      <c r="AY433" s="123"/>
      <c r="AZ433" s="123">
        <f>(AY433/12*2*$E433*$G433*$H433*$N433*$AZ$11)+(AY433/12*10*$F433*$G433*$H433*$N433*$AZ$11)</f>
        <v>0</v>
      </c>
      <c r="BA433" s="123"/>
      <c r="BB433" s="123">
        <f>(BA433/12*2*$E433*$G433*$H433*$N433*$BB$11)+(BA433/12*10*$F433*$G433*$H433*$N433*$BB$12)</f>
        <v>0</v>
      </c>
      <c r="BC433" s="123"/>
      <c r="BD433" s="126">
        <f>(BC433/12*2*$E433*$G433*$H433*$N433*$BD$11)+(BC433/12*10*$F433*$G433*$H433*$N433*$BD$12)</f>
        <v>0</v>
      </c>
      <c r="BE433" s="123"/>
      <c r="BF433" s="123">
        <f>(BE433/12*10*$F433*$G433*$H433*$N433*$BF$12)</f>
        <v>0</v>
      </c>
      <c r="BG433" s="123"/>
      <c r="BH433" s="123">
        <f>(BG433/12*2*$E433*$G433*$H433*$N433*$BH$11)+(BG433/12*10*$F433*$G433*$H433*$N433*$BH$11)</f>
        <v>0</v>
      </c>
      <c r="BI433" s="123"/>
      <c r="BJ433" s="126">
        <f>(BI433/12*2*$E433*$G433*$H433*$N433*$BJ$11)+(BI433/12*10*$F433*$G433*$H433*$N433*$BJ$11)</f>
        <v>0</v>
      </c>
      <c r="BK433" s="123"/>
      <c r="BL433" s="127">
        <f>(BK433/12*2*$E433*$G433*$H433*$N433*$BL$11)+(BK433/12*10*$F433*$G433*$H433*$N433*$BL$11)</f>
        <v>0</v>
      </c>
      <c r="BM433" s="123"/>
      <c r="BN433" s="123">
        <f>(BM433/12*2*$E433*$G433*$H433*$M433*$BN$11)+(BM433/12*10*$F433*$G433*$H433*$M433*$BN$11)</f>
        <v>0</v>
      </c>
      <c r="BO433" s="123"/>
      <c r="BP433" s="123">
        <f>(BO433/12*2*$E433*$G433*$H433*$M433*$BP$11)+(BO433/12*10*$F433*$G433*$H433*$M433*$BP$12)</f>
        <v>0</v>
      </c>
      <c r="BQ433" s="123"/>
      <c r="BR433" s="123">
        <f>(BQ433/12*2*$E433*$G433*$H433*$M433*$BR$11)+(BQ433/12*10*$F433*$G433*$H433*$M433*$BR$11)</f>
        <v>0</v>
      </c>
      <c r="BS433" s="123"/>
      <c r="BT433" s="123">
        <f>(BS433/12*2*$E433*$G433*$H433*$N433*$BT$11)+(BS433/12*10*$F433*$G433*$H433*$N433*$BT$11)</f>
        <v>0</v>
      </c>
      <c r="BU433" s="123"/>
      <c r="BV433" s="126">
        <f>(BU433/12*2*$E433*$G433*$H433*$M433*$BV$11)+(BU433/12*10*$F433*$G433*$H433*$M433*$BV$11)</f>
        <v>0</v>
      </c>
      <c r="BW433" s="123"/>
      <c r="BX433" s="123">
        <f>(BW433/12*2*$E433*$G433*$H433*$M433*$BX$11)+(BW433/12*10*$F433*$G433*$H433*$M433*$BX$11)</f>
        <v>0</v>
      </c>
      <c r="BY433" s="123"/>
      <c r="BZ433" s="123">
        <f>(BY433/12*2*$E433*$G433*$H433*$M433*$BZ$11)+(BY433/12*10*$F433*$G433*$H433*$M433*$BZ$11)</f>
        <v>0</v>
      </c>
      <c r="CA433" s="123"/>
      <c r="CB433" s="123">
        <f>(CA433/12*2*$E433*$G433*$H433*$M433*$CB$11)+(CA433/12*10*$F433*$G433*$H433*$M433*$CB$11)</f>
        <v>0</v>
      </c>
      <c r="CC433" s="123"/>
      <c r="CD433" s="123">
        <f>(CC433/12*2*$E433*$G433*$H433*$M433*$CD$11)+(CC433/12*10*$F433*$G433*$H433*$M433*$CD$11)</f>
        <v>0</v>
      </c>
      <c r="CE433" s="123">
        <v>9</v>
      </c>
      <c r="CF433" s="123">
        <f>(CE433/12*10*$F433*$G433*$H433*$N433*$CF$11)</f>
        <v>274172.21999999997</v>
      </c>
      <c r="CG433" s="132"/>
      <c r="CH433" s="123">
        <f>(CG433/12*2*$E433*$G433*$H433*$N433*$CH$11)+(CG433/12*10*$F433*$G433*$H433*$N433*$CH$11)</f>
        <v>0</v>
      </c>
      <c r="CI433" s="123"/>
      <c r="CJ433" s="127"/>
      <c r="CK433" s="123"/>
      <c r="CL433" s="123">
        <f>(CK433/12*2*$E433*$G433*$H433*$N433*$CL$11)+(CK433/12*10*$F433*$G433*$H433*$N433*$CL$12)</f>
        <v>0</v>
      </c>
      <c r="CM433" s="130"/>
      <c r="CN433" s="123">
        <f>(CM433/12*2*$E433*$G433*$H433*$N433*$CN$11)+(CM433/12*10*$F433*$G433*$H433*$N433*$CN$11)</f>
        <v>0</v>
      </c>
      <c r="CO433" s="123"/>
      <c r="CP433" s="123">
        <f>(CO433/12*2*$E433*$G433*$H433*$N433*$CP$11)+(CO433/12*10*$F433*$G433*$H433*$N433*$CP$11)</f>
        <v>0</v>
      </c>
      <c r="CQ433" s="123"/>
      <c r="CR433" s="123">
        <f>(CQ433/12*2*$E433*$G433*$H433*$O433*$CR$11)+(CQ433/12*10*$F433*$G433*$H433*$O433*$CR$11)</f>
        <v>0</v>
      </c>
      <c r="CS433" s="123"/>
      <c r="CT433" s="133">
        <f>(CS433/12*2*$E433*$G433*$H433*$P433*$CT$11)+(CS433/12*10*$F433*$G433*$H433*$P433*$CT$11)</f>
        <v>0</v>
      </c>
      <c r="CU433" s="127"/>
      <c r="CV433" s="123">
        <f>(CU433*$E433*$G433*$H433*$M433*CV$11)/12*6+(CU433*$E433*$G433*$H433*1*CV$11)/12*6</f>
        <v>0</v>
      </c>
      <c r="CW433" s="126">
        <f t="shared" si="551"/>
        <v>129</v>
      </c>
      <c r="CX433" s="126">
        <f t="shared" si="551"/>
        <v>4780131.8891199995</v>
      </c>
    </row>
    <row r="434" spans="1:102" ht="30" x14ac:dyDescent="0.25">
      <c r="A434" s="91"/>
      <c r="B434" s="116">
        <v>358</v>
      </c>
      <c r="C434" s="117" t="s">
        <v>986</v>
      </c>
      <c r="D434" s="161" t="s">
        <v>987</v>
      </c>
      <c r="E434" s="95">
        <v>28004</v>
      </c>
      <c r="F434" s="96">
        <v>29405</v>
      </c>
      <c r="G434" s="119">
        <v>1.27</v>
      </c>
      <c r="H434" s="107">
        <v>1</v>
      </c>
      <c r="I434" s="108"/>
      <c r="J434" s="108"/>
      <c r="K434" s="108"/>
      <c r="L434" s="63"/>
      <c r="M434" s="120">
        <v>1.4</v>
      </c>
      <c r="N434" s="120">
        <v>1.68</v>
      </c>
      <c r="O434" s="120">
        <v>2.23</v>
      </c>
      <c r="P434" s="121">
        <v>2.57</v>
      </c>
      <c r="Q434" s="122">
        <v>151</v>
      </c>
      <c r="R434" s="123">
        <f>(Q434/12*2*$E434*$G434*$H434*$M434*$R$11)+(Q434/12*10*$F434*$G434*$H434*$M434*$R$11)</f>
        <v>8615096.5747000016</v>
      </c>
      <c r="S434" s="124"/>
      <c r="T434" s="125">
        <f>(S434/12*2*$E434*$G434*$H434*$M434*$R$11)+(S434/12*10*$F434*$G434*$H434*$M434*$R$11)</f>
        <v>0</v>
      </c>
      <c r="U434" s="123"/>
      <c r="V434" s="123">
        <f>(U434/12*2*$E434*$G434*$H434*$M434*$V$11)+(U434/12*10*$F434*$G434*$H434*$M434*$V$12)</f>
        <v>0</v>
      </c>
      <c r="W434" s="123"/>
      <c r="X434" s="126">
        <f>(W434/12*2*$E434*$G434*$H434*$M434*$X$11)+(W434/12*10*$F434*$G434*$H434*$M434*$X$12)</f>
        <v>0</v>
      </c>
      <c r="Y434" s="123">
        <v>2</v>
      </c>
      <c r="Z434" s="123">
        <f>(Y434/12*2*$E434*$G434*$H434*$M434*$Z$11)+(Y434/12*10*$F434*$G434*$H434*$M434*$Z$12)</f>
        <v>139127.8184333333</v>
      </c>
      <c r="AA434" s="123"/>
      <c r="AB434" s="123">
        <f>(AA434/12*2*$E434*$G434*$H434*$M434*$AB$11)+(AA434/12*10*$F434*$G434*$H434*$M434*$AB$11)</f>
        <v>0</v>
      </c>
      <c r="AC434" s="123"/>
      <c r="AD434" s="123"/>
      <c r="AE434" s="123"/>
      <c r="AF434" s="123">
        <f>(AE434/12*2*$E434*$G434*$H434*$M434*$AF$11)+(AE434/12*10*$F434*$G434*$H434*$M434*$AF$11)</f>
        <v>0</v>
      </c>
      <c r="AG434" s="123">
        <v>0</v>
      </c>
      <c r="AH434" s="126">
        <f>(AG434/12*2*$E434*$G434*$H434*$M434*$AH$11)+(AG434/12*10*$F434*$G434*$H434*$M434*$AH$11)</f>
        <v>0</v>
      </c>
      <c r="AI434" s="123"/>
      <c r="AJ434" s="123">
        <f t="shared" si="552"/>
        <v>0</v>
      </c>
      <c r="AK434" s="123">
        <v>150</v>
      </c>
      <c r="AL434" s="123">
        <f t="shared" si="553"/>
        <v>12058437.783</v>
      </c>
      <c r="AM434" s="132"/>
      <c r="AN434" s="123">
        <f>(AM434/12*2*$E434*$G434*$H434*$N434*$AN$11)+(AM434/12*10*$F434*$G434*$H434*$N434*$AN$12)</f>
        <v>0</v>
      </c>
      <c r="AO434" s="130"/>
      <c r="AP434" s="127">
        <f>(AO434/12*2*$E434*$G434*$H434*$N434*$AP$11)+(AO434/12*10*$F434*$G434*$H434*$N434*$AP$11)</f>
        <v>0</v>
      </c>
      <c r="AQ434" s="127">
        <v>0</v>
      </c>
      <c r="AR434" s="127">
        <v>0</v>
      </c>
      <c r="AS434" s="123"/>
      <c r="AT434" s="123">
        <f>(AS434/12*2*$E434*$G434*$H434*$M434*$AT$11)+(AS434/12*10*$F434*$G434*$H434*$M434*$AT$11)</f>
        <v>0</v>
      </c>
      <c r="AU434" s="123"/>
      <c r="AV434" s="126">
        <f>(AU434/12*2*$E434*$G434*$H434*$M434*$AV$11)+(AU434/12*10*$F434*$G434*$H434*$M434*$AV$12)</f>
        <v>0</v>
      </c>
      <c r="AW434" s="123"/>
      <c r="AX434" s="123">
        <f>(AW434/12*2*$E434*$G434*$H434*$M434*$AX$11)+(AW434/12*10*$F434*$G434*$H434*$M434*$AX$12)</f>
        <v>0</v>
      </c>
      <c r="AY434" s="123"/>
      <c r="AZ434" s="123">
        <f>(AY434/12*2*$E434*$G434*$H434*$N434*$AZ$11)+(AY434/12*10*$F434*$G434*$H434*$N434*$AZ$11)</f>
        <v>0</v>
      </c>
      <c r="BA434" s="123"/>
      <c r="BB434" s="123">
        <f>(BA434/12*2*$E434*$G434*$H434*$N434*$BB$11)+(BA434/12*10*$F434*$G434*$H434*$N434*$BB$12)</f>
        <v>0</v>
      </c>
      <c r="BC434" s="123"/>
      <c r="BD434" s="126">
        <f>(BC434/12*2*$E434*$G434*$H434*$N434*$BD$11)+(BC434/12*10*$F434*$G434*$H434*$N434*$BD$12)</f>
        <v>0</v>
      </c>
      <c r="BE434" s="123"/>
      <c r="BF434" s="123">
        <f>(BE434/12*10*$F434*$G434*$H434*$N434*$BF$12)</f>
        <v>0</v>
      </c>
      <c r="BG434" s="123"/>
      <c r="BH434" s="123">
        <f>(BG434/12*2*$E434*$G434*$H434*$N434*$BH$11)+(BG434/12*10*$F434*$G434*$H434*$N434*$BH$11)</f>
        <v>0</v>
      </c>
      <c r="BI434" s="123"/>
      <c r="BJ434" s="126">
        <f>(BI434/12*2*$E434*$G434*$H434*$N434*$BJ$11)+(BI434/12*10*$F434*$G434*$H434*$N434*$BJ$11)</f>
        <v>0</v>
      </c>
      <c r="BK434" s="123"/>
      <c r="BL434" s="127">
        <f>(BK434/12*2*$E434*$G434*$H434*$N434*$BL$11)+(BK434/12*10*$F434*$G434*$H434*$N434*$BL$11)</f>
        <v>0</v>
      </c>
      <c r="BM434" s="123"/>
      <c r="BN434" s="123">
        <f>(BM434/12*2*$E434*$G434*$H434*$M434*$BN$11)+(BM434/12*10*$F434*$G434*$H434*$M434*$BN$11)</f>
        <v>0</v>
      </c>
      <c r="BO434" s="123"/>
      <c r="BP434" s="123">
        <f>(BO434/12*2*$E434*$G434*$H434*$M434*$BP$11)+(BO434/12*10*$F434*$G434*$H434*$M434*$BP$12)</f>
        <v>0</v>
      </c>
      <c r="BQ434" s="123"/>
      <c r="BR434" s="123">
        <f>(BQ434/12*2*$E434*$G434*$H434*$M434*$BR$11)+(BQ434/12*10*$F434*$G434*$H434*$M434*$BR$11)</f>
        <v>0</v>
      </c>
      <c r="BS434" s="123"/>
      <c r="BT434" s="123">
        <f>(BS434/12*2*$E434*$G434*$H434*$N434*$BT$11)+(BS434/12*10*$F434*$G434*$H434*$N434*$BT$11)</f>
        <v>0</v>
      </c>
      <c r="BU434" s="123"/>
      <c r="BV434" s="126">
        <f>(BU434/12*2*$E434*$G434*$H434*$M434*$BV$11)+(BU434/12*10*$F434*$G434*$H434*$M434*$BV$11)</f>
        <v>0</v>
      </c>
      <c r="BW434" s="123"/>
      <c r="BX434" s="123">
        <f>(BW434/12*2*$E434*$G434*$H434*$M434*$BX$11)+(BW434/12*10*$F434*$G434*$H434*$M434*$BX$11)</f>
        <v>0</v>
      </c>
      <c r="BY434" s="123"/>
      <c r="BZ434" s="123">
        <f>(BY434/12*2*$E434*$G434*$H434*$M434*$BZ$11)+(BY434/12*10*$F434*$G434*$H434*$M434*$BZ$11)</f>
        <v>0</v>
      </c>
      <c r="CA434" s="123"/>
      <c r="CB434" s="123">
        <f>(CA434/12*2*$E434*$G434*$H434*$M434*$CB$11)+(CA434/12*10*$F434*$G434*$H434*$M434*$CB$11)</f>
        <v>0</v>
      </c>
      <c r="CC434" s="123"/>
      <c r="CD434" s="123">
        <f>(CC434/12*2*$E434*$G434*$H434*$M434*$CD$11)+(CC434/12*10*$F434*$G434*$H434*$M434*$CD$11)</f>
        <v>0</v>
      </c>
      <c r="CE434" s="123"/>
      <c r="CF434" s="123">
        <f>(CE434/12*10*$F434*$G434*$H434*$N434*$CF$11)</f>
        <v>0</v>
      </c>
      <c r="CG434" s="132"/>
      <c r="CH434" s="123">
        <f>(CG434/12*2*$E434*$G434*$H434*$N434*$CH$11)+(CG434/12*10*$F434*$G434*$H434*$N434*$CH$11)</f>
        <v>0</v>
      </c>
      <c r="CI434" s="123"/>
      <c r="CJ434" s="127"/>
      <c r="CK434" s="123"/>
      <c r="CL434" s="123">
        <f>(CK434/12*2*$E434*$G434*$H434*$N434*$CL$11)+(CK434/12*10*$F434*$G434*$H434*$N434*$CL$12)</f>
        <v>0</v>
      </c>
      <c r="CM434" s="130"/>
      <c r="CN434" s="123">
        <f>(CM434/12*2*$E434*$G434*$H434*$N434*$CN$11)+(CM434/12*10*$F434*$G434*$H434*$N434*$CN$11)</f>
        <v>0</v>
      </c>
      <c r="CO434" s="123"/>
      <c r="CP434" s="123">
        <f>(CO434/12*2*$E434*$G434*$H434*$N434*$CP$11)+(CO434/12*10*$F434*$G434*$H434*$N434*$CP$11)</f>
        <v>0</v>
      </c>
      <c r="CQ434" s="123"/>
      <c r="CR434" s="123">
        <f>(CQ434/12*2*$E434*$G434*$H434*$O434*$CR$11)+(CQ434/12*10*$F434*$G434*$H434*$O434*$CR$11)</f>
        <v>0</v>
      </c>
      <c r="CS434" s="123"/>
      <c r="CT434" s="133">
        <f>(CS434/12*2*$E434*$G434*$H434*$P434*$CT$11)+(CS434/12*10*$F434*$G434*$H434*$P434*$CT$11)</f>
        <v>0</v>
      </c>
      <c r="CU434" s="127"/>
      <c r="CV434" s="123">
        <f>(CU434*$E434*$G434*$H434*$M434*CV$11)/12*6+(CU434*$E434*$G434*$H434*1*CV$11)/12*6</f>
        <v>0</v>
      </c>
      <c r="CW434" s="126">
        <f t="shared" si="551"/>
        <v>303</v>
      </c>
      <c r="CX434" s="126">
        <f t="shared" si="551"/>
        <v>20812662.176133335</v>
      </c>
    </row>
    <row r="435" spans="1:102" ht="30" x14ac:dyDescent="0.25">
      <c r="A435" s="91"/>
      <c r="B435" s="116">
        <v>359</v>
      </c>
      <c r="C435" s="117" t="s">
        <v>988</v>
      </c>
      <c r="D435" s="161" t="s">
        <v>989</v>
      </c>
      <c r="E435" s="95">
        <v>28004</v>
      </c>
      <c r="F435" s="96">
        <v>29405</v>
      </c>
      <c r="G435" s="119">
        <v>1.63</v>
      </c>
      <c r="H435" s="107">
        <v>1</v>
      </c>
      <c r="I435" s="108"/>
      <c r="J435" s="108"/>
      <c r="K435" s="108"/>
      <c r="L435" s="63"/>
      <c r="M435" s="120">
        <v>1.4</v>
      </c>
      <c r="N435" s="120">
        <v>1.68</v>
      </c>
      <c r="O435" s="120">
        <v>2.23</v>
      </c>
      <c r="P435" s="121">
        <v>2.57</v>
      </c>
      <c r="Q435" s="122">
        <v>7</v>
      </c>
      <c r="R435" s="123">
        <f>(Q435/12*2*$E435*$G435*$H435*$M435*$R$11)+(Q435/12*10*$F435*$G435*$H435*$M435*$R$11)</f>
        <v>512584.09510000004</v>
      </c>
      <c r="S435" s="124"/>
      <c r="T435" s="125">
        <f>(S435/12*2*$E435*$G435*$H435*$M435*$R$11)+(S435/12*10*$F435*$G435*$H435*$M435*$R$11)</f>
        <v>0</v>
      </c>
      <c r="U435" s="123"/>
      <c r="V435" s="123">
        <f>(U435/12*2*$E435*$G435*$H435*$M435*$V$11)+(U435/12*10*$F435*$G435*$H435*$M435*$V$12)</f>
        <v>0</v>
      </c>
      <c r="W435" s="123"/>
      <c r="X435" s="126">
        <f>(W435/12*2*$E435*$G435*$H435*$M435*$X$11)+(W435/12*10*$F435*$G435*$H435*$M435*$X$12)</f>
        <v>0</v>
      </c>
      <c r="Y435" s="123"/>
      <c r="Z435" s="123">
        <f>(Y435/12*2*$E435*$G435*$H435*$M435*$Z$11)+(Y435/12*10*$F435*$G435*$H435*$M435*$Z$12)</f>
        <v>0</v>
      </c>
      <c r="AA435" s="123"/>
      <c r="AB435" s="123">
        <f>(AA435/12*2*$E435*$G435*$H435*$M435*$AB$11)+(AA435/12*10*$F435*$G435*$H435*$M435*$AB$11)</f>
        <v>0</v>
      </c>
      <c r="AC435" s="123"/>
      <c r="AD435" s="123"/>
      <c r="AE435" s="123"/>
      <c r="AF435" s="123">
        <f>(AE435/12*2*$E435*$G435*$H435*$M435*$AF$11)+(AE435/12*10*$F435*$G435*$H435*$M435*$AF$11)</f>
        <v>0</v>
      </c>
      <c r="AG435" s="123">
        <v>0</v>
      </c>
      <c r="AH435" s="126">
        <f>(AG435/12*2*$E435*$G435*$H435*$M435*$AH$11)+(AG435/12*10*$F435*$G435*$H435*$M435*$AH$11)</f>
        <v>0</v>
      </c>
      <c r="AI435" s="123"/>
      <c r="AJ435" s="123">
        <f t="shared" si="552"/>
        <v>0</v>
      </c>
      <c r="AK435" s="123">
        <v>11</v>
      </c>
      <c r="AL435" s="123">
        <f t="shared" si="553"/>
        <v>1134949.0259799997</v>
      </c>
      <c r="AM435" s="132"/>
      <c r="AN435" s="123">
        <f>(AM435/12*2*$E435*$G435*$H435*$N435*$AN$11)+(AM435/12*10*$F435*$G435*$H435*$N435*$AN$12)</f>
        <v>0</v>
      </c>
      <c r="AO435" s="130"/>
      <c r="AP435" s="127">
        <f>(AO435/12*2*$E435*$G435*$H435*$N435*$AP$11)+(AO435/12*10*$F435*$G435*$H435*$N435*$AP$11)</f>
        <v>0</v>
      </c>
      <c r="AQ435" s="127">
        <v>0</v>
      </c>
      <c r="AR435" s="127">
        <v>0</v>
      </c>
      <c r="AS435" s="123"/>
      <c r="AT435" s="123">
        <f>(AS435/12*2*$E435*$G435*$H435*$M435*$AT$11)+(AS435/12*10*$F435*$G435*$H435*$M435*$AT$11)</f>
        <v>0</v>
      </c>
      <c r="AU435" s="123"/>
      <c r="AV435" s="126">
        <f>(AU435/12*2*$E435*$G435*$H435*$M435*$AV$11)+(AU435/12*10*$F435*$G435*$H435*$M435*$AV$12)</f>
        <v>0</v>
      </c>
      <c r="AW435" s="123"/>
      <c r="AX435" s="123">
        <f>(AW435/12*2*$E435*$G435*$H435*$M435*$AX$11)+(AW435/12*10*$F435*$G435*$H435*$M435*$AX$12)</f>
        <v>0</v>
      </c>
      <c r="AY435" s="131"/>
      <c r="AZ435" s="123">
        <f>(AY435/12*2*$E435*$G435*$H435*$N435*$AZ$11)+(AY435/12*10*$F435*$G435*$H435*$N435*$AZ$11)</f>
        <v>0</v>
      </c>
      <c r="BA435" s="123"/>
      <c r="BB435" s="123">
        <f>(BA435/12*2*$E435*$G435*$H435*$N435*$BB$11)+(BA435/12*10*$F435*$G435*$H435*$N435*$BB$12)</f>
        <v>0</v>
      </c>
      <c r="BC435" s="123"/>
      <c r="BD435" s="126">
        <f>(BC435/12*2*$E435*$G435*$H435*$N435*$BD$11)+(BC435/12*10*$F435*$G435*$H435*$N435*$BD$12)</f>
        <v>0</v>
      </c>
      <c r="BE435" s="123">
        <v>2</v>
      </c>
      <c r="BF435" s="123">
        <f>(BE435/12*10*$F435*$G435*$H435*$N435*$BF$12)</f>
        <v>134204.41999999995</v>
      </c>
      <c r="BG435" s="123"/>
      <c r="BH435" s="123">
        <f>(BG435/12*2*$E435*$G435*$H435*$N435*$BH$11)+(BG435/12*10*$F435*$G435*$H435*$N435*$BH$11)</f>
        <v>0</v>
      </c>
      <c r="BI435" s="123"/>
      <c r="BJ435" s="126">
        <f>(BI435/12*2*$E435*$G435*$H435*$N435*$BJ$11)+(BI435/12*10*$F435*$G435*$H435*$N435*$BJ$11)</f>
        <v>0</v>
      </c>
      <c r="BK435" s="123"/>
      <c r="BL435" s="127">
        <f>(BK435/12*2*$E435*$G435*$H435*$N435*$BL$11)+(BK435/12*10*$F435*$G435*$H435*$N435*$BL$11)</f>
        <v>0</v>
      </c>
      <c r="BM435" s="123"/>
      <c r="BN435" s="123">
        <f>(BM435/12*2*$E435*$G435*$H435*$M435*$BN$11)+(BM435/12*10*$F435*$G435*$H435*$M435*$BN$11)</f>
        <v>0</v>
      </c>
      <c r="BO435" s="123"/>
      <c r="BP435" s="123">
        <f>(BO435/12*2*$E435*$G435*$H435*$M435*$BP$11)+(BO435/12*10*$F435*$G435*$H435*$M435*$BP$12)</f>
        <v>0</v>
      </c>
      <c r="BQ435" s="123"/>
      <c r="BR435" s="123">
        <f>(BQ435/12*2*$E435*$G435*$H435*$M435*$BR$11)+(BQ435/12*10*$F435*$G435*$H435*$M435*$BR$11)</f>
        <v>0</v>
      </c>
      <c r="BS435" s="123"/>
      <c r="BT435" s="123">
        <f>(BS435/12*2*$E435*$G435*$H435*$N435*$BT$11)+(BS435/12*10*$F435*$G435*$H435*$N435*$BT$11)</f>
        <v>0</v>
      </c>
      <c r="BU435" s="123"/>
      <c r="BV435" s="126">
        <f>(BU435/12*2*$E435*$G435*$H435*$M435*$BV$11)+(BU435/12*10*$F435*$G435*$H435*$M435*$BV$11)</f>
        <v>0</v>
      </c>
      <c r="BW435" s="123"/>
      <c r="BX435" s="123">
        <f>(BW435/12*2*$E435*$G435*$H435*$M435*$BX$11)+(BW435/12*10*$F435*$G435*$H435*$M435*$BX$11)</f>
        <v>0</v>
      </c>
      <c r="BY435" s="123"/>
      <c r="BZ435" s="123">
        <f>(BY435/12*2*$E435*$G435*$H435*$M435*$BZ$11)+(BY435/12*10*$F435*$G435*$H435*$M435*$BZ$11)</f>
        <v>0</v>
      </c>
      <c r="CA435" s="123"/>
      <c r="CB435" s="123">
        <f>(CA435/12*2*$E435*$G435*$H435*$M435*$CB$11)+(CA435/12*10*$F435*$G435*$H435*$M435*$CB$11)</f>
        <v>0</v>
      </c>
      <c r="CC435" s="123"/>
      <c r="CD435" s="123">
        <f>(CC435/12*2*$E435*$G435*$H435*$M435*$CD$11)+(CC435/12*10*$F435*$G435*$H435*$M435*$CD$11)</f>
        <v>0</v>
      </c>
      <c r="CE435" s="123"/>
      <c r="CF435" s="123">
        <f>(CE435/12*10*$F435*$G435*$H435*$N435*$CF$11)</f>
        <v>0</v>
      </c>
      <c r="CG435" s="132"/>
      <c r="CH435" s="123">
        <f>(CG435/12*2*$E435*$G435*$H435*$N435*$CH$11)+(CG435/12*10*$F435*$G435*$H435*$N435*$CH$11)</f>
        <v>0</v>
      </c>
      <c r="CI435" s="123"/>
      <c r="CJ435" s="127"/>
      <c r="CK435" s="123"/>
      <c r="CL435" s="123">
        <f>(CK435/12*2*$E435*$G435*$H435*$N435*$CL$11)+(CK435/12*10*$F435*$G435*$H435*$N435*$CL$12)</f>
        <v>0</v>
      </c>
      <c r="CM435" s="130"/>
      <c r="CN435" s="123">
        <f>(CM435/12*2*$E435*$G435*$H435*$N435*$CN$11)+(CM435/12*10*$F435*$G435*$H435*$N435*$CN$11)</f>
        <v>0</v>
      </c>
      <c r="CO435" s="123"/>
      <c r="CP435" s="123">
        <f>(CO435/12*2*$E435*$G435*$H435*$N435*$CP$11)+(CO435/12*10*$F435*$G435*$H435*$N435*$CP$11)</f>
        <v>0</v>
      </c>
      <c r="CQ435" s="123"/>
      <c r="CR435" s="123">
        <f>(CQ435/12*2*$E435*$G435*$H435*$O435*$CR$11)+(CQ435/12*10*$F435*$G435*$H435*$O435*$CR$11)</f>
        <v>0</v>
      </c>
      <c r="CS435" s="123"/>
      <c r="CT435" s="133">
        <f>(CS435/12*2*$E435*$G435*$H435*$P435*$CT$11)+(CS435/12*10*$F435*$G435*$H435*$P435*$CT$11)</f>
        <v>0</v>
      </c>
      <c r="CU435" s="127"/>
      <c r="CV435" s="123">
        <f>(CU435*$E435*$G435*$H435*$M435*CV$11)/12*6+(CU435*$E435*$G435*$H435*1*CV$11)/12*6</f>
        <v>0</v>
      </c>
      <c r="CW435" s="126">
        <f t="shared" si="551"/>
        <v>20</v>
      </c>
      <c r="CX435" s="126">
        <f t="shared" si="551"/>
        <v>1781737.5410799996</v>
      </c>
    </row>
    <row r="436" spans="1:102" ht="30" x14ac:dyDescent="0.25">
      <c r="A436" s="91"/>
      <c r="B436" s="116">
        <v>360</v>
      </c>
      <c r="C436" s="117" t="s">
        <v>990</v>
      </c>
      <c r="D436" s="161" t="s">
        <v>991</v>
      </c>
      <c r="E436" s="95">
        <v>28004</v>
      </c>
      <c r="F436" s="96">
        <v>29405</v>
      </c>
      <c r="G436" s="107">
        <v>1.9</v>
      </c>
      <c r="H436" s="107">
        <v>1</v>
      </c>
      <c r="I436" s="108"/>
      <c r="J436" s="108"/>
      <c r="K436" s="108"/>
      <c r="L436" s="63"/>
      <c r="M436" s="120">
        <v>1.4</v>
      </c>
      <c r="N436" s="120">
        <v>1.68</v>
      </c>
      <c r="O436" s="120">
        <v>2.23</v>
      </c>
      <c r="P436" s="121">
        <v>2.57</v>
      </c>
      <c r="Q436" s="122">
        <v>7</v>
      </c>
      <c r="R436" s="123">
        <f>(Q436/12*2*$E436*$G436*$H436*$M436*$R$11)+(Q436/12*10*$F436*$G436*$H436*$M436*$R$11)</f>
        <v>597490.66299999994</v>
      </c>
      <c r="S436" s="124"/>
      <c r="T436" s="125">
        <f>(S436/12*2*$E436*$G436*$H436*$M436*$R$11)+(S436/12*10*$F436*$G436*$H436*$M436*$R$11)</f>
        <v>0</v>
      </c>
      <c r="U436" s="123"/>
      <c r="V436" s="123">
        <f>(U436/12*2*$E436*$G436*$H436*$M436*$V$11)+(U436/12*10*$F436*$G436*$H436*$M436*$V$12)</f>
        <v>0</v>
      </c>
      <c r="W436" s="123"/>
      <c r="X436" s="126">
        <f>(W436/12*2*$E436*$G436*$H436*$M436*$X$11)+(W436/12*10*$F436*$G436*$H436*$M436*$X$12)</f>
        <v>0</v>
      </c>
      <c r="Y436" s="123"/>
      <c r="Z436" s="123">
        <f>(Y436/12*2*$E436*$G436*$H436*$M436*$Z$11)+(Y436/12*10*$F436*$G436*$H436*$M436*$Z$12)</f>
        <v>0</v>
      </c>
      <c r="AA436" s="123"/>
      <c r="AB436" s="123">
        <f>(AA436/12*2*$E436*$G436*$H436*$M436*$AB$11)+(AA436/12*10*$F436*$G436*$H436*$M436*$AB$11)</f>
        <v>0</v>
      </c>
      <c r="AC436" s="123"/>
      <c r="AD436" s="123"/>
      <c r="AE436" s="123"/>
      <c r="AF436" s="123">
        <f>(AE436/12*2*$E436*$G436*$H436*$M436*$AF$11)+(AE436/12*10*$F436*$G436*$H436*$M436*$AF$11)</f>
        <v>0</v>
      </c>
      <c r="AG436" s="123">
        <v>0</v>
      </c>
      <c r="AH436" s="126">
        <f>(AG436/12*2*$E436*$G436*$H436*$M436*$AH$11)+(AG436/12*10*$F436*$G436*$H436*$M436*$AH$11)</f>
        <v>0</v>
      </c>
      <c r="AI436" s="123"/>
      <c r="AJ436" s="123">
        <f t="shared" si="552"/>
        <v>0</v>
      </c>
      <c r="AK436" s="123">
        <v>11</v>
      </c>
      <c r="AL436" s="123">
        <f t="shared" si="553"/>
        <v>1322946.7174</v>
      </c>
      <c r="AM436" s="132"/>
      <c r="AN436" s="123">
        <f>(AM436/12*2*$E436*$G436*$H436*$N436*$AN$11)+(AM436/12*10*$F436*$G436*$H436*$N436*$AN$12)</f>
        <v>0</v>
      </c>
      <c r="AO436" s="130"/>
      <c r="AP436" s="127">
        <f>(AO436/12*2*$E436*$G436*$H436*$N436*$AP$11)+(AO436/12*10*$F436*$G436*$H436*$N436*$AP$11)</f>
        <v>0</v>
      </c>
      <c r="AQ436" s="127">
        <v>0</v>
      </c>
      <c r="AR436" s="127">
        <v>0</v>
      </c>
      <c r="AS436" s="123"/>
      <c r="AT436" s="123">
        <f>(AS436/12*2*$E436*$G436*$H436*$M436*$AT$11)+(AS436/12*10*$F436*$G436*$H436*$M436*$AT$11)</f>
        <v>0</v>
      </c>
      <c r="AU436" s="123"/>
      <c r="AV436" s="126">
        <f>(AU436/12*2*$E436*$G436*$H436*$M436*$AV$11)+(AU436/12*10*$F436*$G436*$H436*$M436*$AV$12)</f>
        <v>0</v>
      </c>
      <c r="AW436" s="123"/>
      <c r="AX436" s="123">
        <f>(AW436/12*2*$E436*$G436*$H436*$M436*$AX$11)+(AW436/12*10*$F436*$G436*$H436*$M436*$AX$12)</f>
        <v>0</v>
      </c>
      <c r="AY436" s="131"/>
      <c r="AZ436" s="123">
        <f>(AY436/12*2*$E436*$G436*$H436*$N436*$AZ$11)+(AY436/12*10*$F436*$G436*$H436*$N436*$AZ$11)</f>
        <v>0</v>
      </c>
      <c r="BA436" s="123"/>
      <c r="BB436" s="123">
        <f>(BA436/12*2*$E436*$G436*$H436*$N436*$BB$11)+(BA436/12*10*$F436*$G436*$H436*$N436*$BB$12)</f>
        <v>0</v>
      </c>
      <c r="BC436" s="123"/>
      <c r="BD436" s="126">
        <f>(BC436/12*2*$E436*$G436*$H436*$N436*$BD$11)+(BC436/12*10*$F436*$G436*$H436*$N436*$BD$12)</f>
        <v>0</v>
      </c>
      <c r="BE436" s="123"/>
      <c r="BF436" s="123">
        <f>(BE436/12*10*$F436*$G436*$H436*$N436*$BF$12)</f>
        <v>0</v>
      </c>
      <c r="BG436" s="123"/>
      <c r="BH436" s="123">
        <f>(BG436/12*2*$E436*$G436*$H436*$N436*$BH$11)+(BG436/12*10*$F436*$G436*$H436*$N436*$BH$11)</f>
        <v>0</v>
      </c>
      <c r="BI436" s="123"/>
      <c r="BJ436" s="126">
        <f>(BI436/12*2*$E436*$G436*$H436*$N436*$BJ$11)+(BI436/12*10*$F436*$G436*$H436*$N436*$BJ$11)</f>
        <v>0</v>
      </c>
      <c r="BK436" s="123"/>
      <c r="BL436" s="127">
        <f>(BK436/12*2*$E436*$G436*$H436*$N436*$BL$11)+(BK436/12*10*$F436*$G436*$H436*$N436*$BL$11)</f>
        <v>0</v>
      </c>
      <c r="BM436" s="123"/>
      <c r="BN436" s="123">
        <f>(BM436/12*2*$E436*$G436*$H436*$M436*$BN$11)+(BM436/12*10*$F436*$G436*$H436*$M436*$BN$11)</f>
        <v>0</v>
      </c>
      <c r="BO436" s="123"/>
      <c r="BP436" s="123">
        <f>(BO436/12*2*$E436*$G436*$H436*$M436*$BP$11)+(BO436/12*10*$F436*$G436*$H436*$M436*$BP$12)</f>
        <v>0</v>
      </c>
      <c r="BQ436" s="123"/>
      <c r="BR436" s="123">
        <f>(BQ436/12*2*$E436*$G436*$H436*$M436*$BR$11)+(BQ436/12*10*$F436*$G436*$H436*$M436*$BR$11)</f>
        <v>0</v>
      </c>
      <c r="BS436" s="123"/>
      <c r="BT436" s="123">
        <f>(BS436/12*2*$E436*$G436*$H436*$N436*$BT$11)+(BS436/12*10*$F436*$G436*$H436*$N436*$BT$11)</f>
        <v>0</v>
      </c>
      <c r="BU436" s="123"/>
      <c r="BV436" s="126">
        <f>(BU436/12*2*$E436*$G436*$H436*$M436*$BV$11)+(BU436/12*10*$F436*$G436*$H436*$M436*$BV$11)</f>
        <v>0</v>
      </c>
      <c r="BW436" s="123"/>
      <c r="BX436" s="123">
        <f>(BW436/12*2*$E436*$G436*$H436*$M436*$BX$11)+(BW436/12*10*$F436*$G436*$H436*$M436*$BX$11)</f>
        <v>0</v>
      </c>
      <c r="BY436" s="123"/>
      <c r="BZ436" s="123">
        <f>(BY436/12*2*$E436*$G436*$H436*$M436*$BZ$11)+(BY436/12*10*$F436*$G436*$H436*$M436*$BZ$11)</f>
        <v>0</v>
      </c>
      <c r="CA436" s="123"/>
      <c r="CB436" s="123">
        <f>(CA436/12*2*$E436*$G436*$H436*$M436*$CB$11)+(CA436/12*10*$F436*$G436*$H436*$M436*$CB$11)</f>
        <v>0</v>
      </c>
      <c r="CC436" s="123"/>
      <c r="CD436" s="123">
        <f>(CC436/12*2*$E436*$G436*$H436*$M436*$CD$11)+(CC436/12*10*$F436*$G436*$H436*$M436*$CD$11)</f>
        <v>0</v>
      </c>
      <c r="CE436" s="123"/>
      <c r="CF436" s="123">
        <f>(CE436/12*10*$F436*$G436*$H436*$N436*$CF$11)</f>
        <v>0</v>
      </c>
      <c r="CG436" s="132"/>
      <c r="CH436" s="123">
        <f>(CG436/12*2*$E436*$G436*$H436*$N436*$CH$11)+(CG436/12*10*$F436*$G436*$H436*$N436*$CH$11)</f>
        <v>0</v>
      </c>
      <c r="CI436" s="123"/>
      <c r="CJ436" s="127"/>
      <c r="CK436" s="123"/>
      <c r="CL436" s="123">
        <f>(CK436/12*2*$E436*$G436*$H436*$N436*$CL$11)+(CK436/12*10*$F436*$G436*$H436*$N436*$CL$12)</f>
        <v>0</v>
      </c>
      <c r="CM436" s="130"/>
      <c r="CN436" s="123">
        <f>(CM436/12*2*$E436*$G436*$H436*$N436*$CN$11)+(CM436/12*10*$F436*$G436*$H436*$N436*$CN$11)</f>
        <v>0</v>
      </c>
      <c r="CO436" s="123"/>
      <c r="CP436" s="123">
        <f>(CO436/12*2*$E436*$G436*$H436*$N436*$CP$11)+(CO436/12*10*$F436*$G436*$H436*$N436*$CP$11)</f>
        <v>0</v>
      </c>
      <c r="CQ436" s="123"/>
      <c r="CR436" s="123">
        <f>(CQ436/12*2*$E436*$G436*$H436*$O436*$CR$11)+(CQ436/12*10*$F436*$G436*$H436*$O436*$CR$11)</f>
        <v>0</v>
      </c>
      <c r="CS436" s="123"/>
      <c r="CT436" s="133">
        <f>(CS436/12*2*$E436*$G436*$H436*$P436*$CT$11)+(CS436/12*10*$F436*$G436*$H436*$P436*$CT$11)</f>
        <v>0</v>
      </c>
      <c r="CU436" s="127"/>
      <c r="CV436" s="123">
        <f>(CU436*$E436*$G436*$H436*$M436*CV$11)/12*6+(CU436*$E436*$G436*$H436*1*CV$11)/12*6</f>
        <v>0</v>
      </c>
      <c r="CW436" s="126">
        <f t="shared" si="551"/>
        <v>18</v>
      </c>
      <c r="CX436" s="126">
        <f t="shared" si="551"/>
        <v>1920437.3803999999</v>
      </c>
    </row>
    <row r="437" spans="1:102" ht="15.75" customHeight="1" x14ac:dyDescent="0.25">
      <c r="A437" s="109">
        <v>35</v>
      </c>
      <c r="B437" s="150"/>
      <c r="C437" s="93" t="s">
        <v>992</v>
      </c>
      <c r="D437" s="164" t="s">
        <v>993</v>
      </c>
      <c r="E437" s="95">
        <v>28004</v>
      </c>
      <c r="F437" s="96">
        <v>29405</v>
      </c>
      <c r="G437" s="151">
        <v>1.4</v>
      </c>
      <c r="H437" s="110"/>
      <c r="I437" s="108"/>
      <c r="J437" s="108"/>
      <c r="K437" s="108"/>
      <c r="L437" s="111"/>
      <c r="M437" s="112">
        <v>1.4</v>
      </c>
      <c r="N437" s="112">
        <v>1.68</v>
      </c>
      <c r="O437" s="112">
        <v>2.23</v>
      </c>
      <c r="P437" s="113">
        <v>2.57</v>
      </c>
      <c r="Q437" s="103">
        <f>SUM(Q438:Q446)</f>
        <v>812</v>
      </c>
      <c r="R437" s="104">
        <f>SUM(R438:R446)</f>
        <v>50568310.799416654</v>
      </c>
      <c r="S437" s="114">
        <f t="shared" ref="S437:CD437" si="554">SUM(S438:S446)</f>
        <v>40</v>
      </c>
      <c r="T437" s="115">
        <f t="shared" si="554"/>
        <v>2340256.5994500001</v>
      </c>
      <c r="U437" s="104">
        <f t="shared" si="554"/>
        <v>110</v>
      </c>
      <c r="V437" s="104">
        <f t="shared" si="554"/>
        <v>9065218.0908333324</v>
      </c>
      <c r="W437" s="104">
        <f t="shared" si="554"/>
        <v>0</v>
      </c>
      <c r="X437" s="104">
        <f t="shared" si="554"/>
        <v>0</v>
      </c>
      <c r="Y437" s="104">
        <f t="shared" si="554"/>
        <v>2</v>
      </c>
      <c r="Z437" s="104">
        <f t="shared" si="554"/>
        <v>234435.85153333331</v>
      </c>
      <c r="AA437" s="104">
        <f t="shared" si="554"/>
        <v>0</v>
      </c>
      <c r="AB437" s="104">
        <f t="shared" si="554"/>
        <v>0</v>
      </c>
      <c r="AC437" s="104">
        <f t="shared" si="554"/>
        <v>0</v>
      </c>
      <c r="AD437" s="104">
        <f t="shared" si="554"/>
        <v>0</v>
      </c>
      <c r="AE437" s="104">
        <f t="shared" si="554"/>
        <v>149</v>
      </c>
      <c r="AF437" s="105">
        <f t="shared" si="554"/>
        <v>9443948.1520999987</v>
      </c>
      <c r="AG437" s="104">
        <f t="shared" si="554"/>
        <v>100</v>
      </c>
      <c r="AH437" s="104">
        <f t="shared" si="554"/>
        <v>6092564.386241667</v>
      </c>
      <c r="AI437" s="106">
        <f t="shared" si="554"/>
        <v>45</v>
      </c>
      <c r="AJ437" s="104">
        <f t="shared" si="554"/>
        <v>2806907.7990625002</v>
      </c>
      <c r="AK437" s="104">
        <f t="shared" si="554"/>
        <v>217</v>
      </c>
      <c r="AL437" s="104">
        <f t="shared" si="554"/>
        <v>19208001.482179999</v>
      </c>
      <c r="AM437" s="104">
        <f t="shared" si="554"/>
        <v>9</v>
      </c>
      <c r="AN437" s="104">
        <f t="shared" si="554"/>
        <v>739458.87750000006</v>
      </c>
      <c r="AO437" s="106">
        <f t="shared" si="554"/>
        <v>1</v>
      </c>
      <c r="AP437" s="104">
        <f t="shared" si="554"/>
        <v>67386.164999999994</v>
      </c>
      <c r="AQ437" s="104">
        <v>63</v>
      </c>
      <c r="AR437" s="104">
        <v>4173973.3100000005</v>
      </c>
      <c r="AS437" s="104">
        <f t="shared" si="554"/>
        <v>0</v>
      </c>
      <c r="AT437" s="104">
        <f t="shared" si="554"/>
        <v>0</v>
      </c>
      <c r="AU437" s="104">
        <f t="shared" si="554"/>
        <v>0</v>
      </c>
      <c r="AV437" s="104">
        <f t="shared" si="554"/>
        <v>0</v>
      </c>
      <c r="AW437" s="104">
        <f t="shared" si="554"/>
        <v>34</v>
      </c>
      <c r="AX437" s="104">
        <f t="shared" si="554"/>
        <v>2233129.3781999992</v>
      </c>
      <c r="AY437" s="104">
        <f t="shared" si="554"/>
        <v>635</v>
      </c>
      <c r="AZ437" s="104">
        <f t="shared" si="554"/>
        <v>47638771.359409995</v>
      </c>
      <c r="BA437" s="104">
        <f t="shared" si="554"/>
        <v>17</v>
      </c>
      <c r="BB437" s="104">
        <f t="shared" si="554"/>
        <v>960490.00319999992</v>
      </c>
      <c r="BC437" s="104">
        <f t="shared" si="554"/>
        <v>0</v>
      </c>
      <c r="BD437" s="104">
        <f t="shared" si="554"/>
        <v>0</v>
      </c>
      <c r="BE437" s="104">
        <f t="shared" si="554"/>
        <v>89</v>
      </c>
      <c r="BF437" s="104">
        <f t="shared" si="554"/>
        <v>5131610.6344999988</v>
      </c>
      <c r="BG437" s="104">
        <f t="shared" si="554"/>
        <v>32</v>
      </c>
      <c r="BH437" s="104">
        <f t="shared" si="554"/>
        <v>1918584.6283799999</v>
      </c>
      <c r="BI437" s="104">
        <f t="shared" si="554"/>
        <v>76</v>
      </c>
      <c r="BJ437" s="104">
        <f t="shared" si="554"/>
        <v>6302196.966239999</v>
      </c>
      <c r="BK437" s="104">
        <f t="shared" si="554"/>
        <v>146</v>
      </c>
      <c r="BL437" s="104">
        <f t="shared" si="554"/>
        <v>10850235.264120001</v>
      </c>
      <c r="BM437" s="104">
        <f t="shared" si="554"/>
        <v>0</v>
      </c>
      <c r="BN437" s="104">
        <f t="shared" si="554"/>
        <v>0</v>
      </c>
      <c r="BO437" s="104">
        <f t="shared" si="554"/>
        <v>31</v>
      </c>
      <c r="BP437" s="104">
        <f t="shared" si="554"/>
        <v>1229276.7176666667</v>
      </c>
      <c r="BQ437" s="104">
        <f t="shared" si="554"/>
        <v>0</v>
      </c>
      <c r="BR437" s="104">
        <f t="shared" si="554"/>
        <v>0</v>
      </c>
      <c r="BS437" s="104">
        <f t="shared" si="554"/>
        <v>103</v>
      </c>
      <c r="BT437" s="104">
        <f t="shared" si="554"/>
        <v>7046492.9898999985</v>
      </c>
      <c r="BU437" s="104">
        <f t="shared" si="554"/>
        <v>0</v>
      </c>
      <c r="BV437" s="104">
        <f t="shared" si="554"/>
        <v>0</v>
      </c>
      <c r="BW437" s="104">
        <f t="shared" si="554"/>
        <v>35</v>
      </c>
      <c r="BX437" s="104">
        <f t="shared" si="554"/>
        <v>1632287.0036666663</v>
      </c>
      <c r="BY437" s="104">
        <f t="shared" si="554"/>
        <v>0</v>
      </c>
      <c r="BZ437" s="104">
        <f t="shared" si="554"/>
        <v>0</v>
      </c>
      <c r="CA437" s="104">
        <f t="shared" si="554"/>
        <v>176</v>
      </c>
      <c r="CB437" s="104">
        <f t="shared" si="554"/>
        <v>12198054.034599997</v>
      </c>
      <c r="CC437" s="104">
        <f t="shared" si="554"/>
        <v>34</v>
      </c>
      <c r="CD437" s="104">
        <f t="shared" si="554"/>
        <v>1866366.044666667</v>
      </c>
      <c r="CE437" s="104">
        <f t="shared" ref="CE437:CX437" si="555">SUM(CE438:CE446)</f>
        <v>0</v>
      </c>
      <c r="CF437" s="104">
        <f t="shared" si="555"/>
        <v>0</v>
      </c>
      <c r="CG437" s="104">
        <f t="shared" si="555"/>
        <v>0</v>
      </c>
      <c r="CH437" s="104">
        <f t="shared" si="555"/>
        <v>0</v>
      </c>
      <c r="CI437" s="104">
        <f t="shared" si="555"/>
        <v>0</v>
      </c>
      <c r="CJ437" s="104">
        <f t="shared" si="555"/>
        <v>0</v>
      </c>
      <c r="CK437" s="104">
        <f t="shared" si="555"/>
        <v>0</v>
      </c>
      <c r="CL437" s="104">
        <f t="shared" si="555"/>
        <v>0</v>
      </c>
      <c r="CM437" s="104">
        <f t="shared" si="555"/>
        <v>0</v>
      </c>
      <c r="CN437" s="104">
        <f t="shared" si="555"/>
        <v>0</v>
      </c>
      <c r="CO437" s="104">
        <f t="shared" si="555"/>
        <v>88</v>
      </c>
      <c r="CP437" s="104">
        <f t="shared" si="555"/>
        <v>3437434.41</v>
      </c>
      <c r="CQ437" s="104">
        <f t="shared" si="555"/>
        <v>9</v>
      </c>
      <c r="CR437" s="104">
        <f t="shared" si="555"/>
        <v>620423.28559999994</v>
      </c>
      <c r="CS437" s="104">
        <f t="shared" si="555"/>
        <v>25</v>
      </c>
      <c r="CT437" s="104">
        <f t="shared" si="555"/>
        <v>2352799.2609374998</v>
      </c>
      <c r="CU437" s="104">
        <f t="shared" si="555"/>
        <v>0</v>
      </c>
      <c r="CV437" s="104">
        <f t="shared" si="555"/>
        <v>0</v>
      </c>
      <c r="CW437" s="104">
        <f t="shared" si="555"/>
        <v>3078</v>
      </c>
      <c r="CX437" s="104">
        <f t="shared" si="555"/>
        <v>210158613.494405</v>
      </c>
    </row>
    <row r="438" spans="1:102" ht="30" x14ac:dyDescent="0.25">
      <c r="A438" s="91"/>
      <c r="B438" s="116">
        <v>361</v>
      </c>
      <c r="C438" s="117" t="s">
        <v>994</v>
      </c>
      <c r="D438" s="161" t="s">
        <v>995</v>
      </c>
      <c r="E438" s="95">
        <v>28004</v>
      </c>
      <c r="F438" s="96">
        <v>29405</v>
      </c>
      <c r="G438" s="119">
        <v>1.02</v>
      </c>
      <c r="H438" s="107">
        <v>1</v>
      </c>
      <c r="I438" s="110">
        <v>0.9</v>
      </c>
      <c r="J438" s="108"/>
      <c r="K438" s="108"/>
      <c r="L438" s="63"/>
      <c r="M438" s="120">
        <v>1.4</v>
      </c>
      <c r="N438" s="120">
        <v>1.68</v>
      </c>
      <c r="O438" s="120">
        <v>2.23</v>
      </c>
      <c r="P438" s="121">
        <v>2.57</v>
      </c>
      <c r="Q438" s="285">
        <v>43</v>
      </c>
      <c r="R438" s="123">
        <f>(Q438/12*2*$E438*$G438*$H438*$M438*$R$11)+(Q438/12*10*$F438*$G438*$I438*$M438*$R$11)</f>
        <v>1804859.5411</v>
      </c>
      <c r="S438" s="124"/>
      <c r="T438" s="125">
        <f>(S438/12*2*$E438*$G438*$H438*$M438*$R$11)+(S438/12*10*$F438*$G438*$I438*$M438*$R$11)</f>
        <v>0</v>
      </c>
      <c r="U438" s="123"/>
      <c r="V438" s="123">
        <f>(U438/12*2*$E438*$G438*$H438*$M438*$V$11)+(U438/12*10*$F438*$G438*$I438*$M438*$V$12)</f>
        <v>0</v>
      </c>
      <c r="W438" s="123"/>
      <c r="X438" s="126">
        <f>(W438/12*2*$E438*$G438*$H438*$M438*$X$11)+(W438/12*10*$F438*$G438*$I438*$M438*$X$12)</f>
        <v>0</v>
      </c>
      <c r="Y438" s="123"/>
      <c r="Z438" s="123">
        <f>(Y438/12*2*$E438*$G438*$H438*$M438*$Z$11)+(Y438/12*10*$F438*$G438*$I438*$M438*$Z$12)</f>
        <v>0</v>
      </c>
      <c r="AA438" s="123"/>
      <c r="AB438" s="123">
        <f>(AA438/12*2*$E438*$G438*$H438*$M438*$AB$11)+(AA438/12*10*$F438*$G438*$I438*$M438*$AB$11)</f>
        <v>0</v>
      </c>
      <c r="AC438" s="123"/>
      <c r="AD438" s="123"/>
      <c r="AE438" s="123">
        <v>5</v>
      </c>
      <c r="AF438" s="127">
        <f>(AE438/12*2*$E438*$G438*$H438*$M438*$AF$11)+(AE438/12*10*$F438*$G438*$I438*$M438*$AF$11)</f>
        <v>209867.38850000003</v>
      </c>
      <c r="AG438" s="123">
        <v>10</v>
      </c>
      <c r="AH438" s="126">
        <f>(AG438/12*2*$E438*$G438*$H438*$M438*$AH$11)+(AG438/12*10*$F438*$G438*$I438*$M438*$AH$11)</f>
        <v>419734.77700000006</v>
      </c>
      <c r="AI438" s="130"/>
      <c r="AJ438" s="123">
        <f t="shared" ref="AJ438:AJ439" si="556">(AI438/12*2*$E438*$G438*$H438*$M438*$AJ$11)+(AI438/12*5*$F438*$G438*$I438*$M438*$AJ$12)+(AI438/12*5*$F438*$G438*$I438*$M438*$AJ$13)</f>
        <v>0</v>
      </c>
      <c r="AK438" s="123">
        <v>9</v>
      </c>
      <c r="AL438" s="123">
        <f t="shared" ref="AL438:AL439" si="557">(AK438/12*2*$E438*$G438*$H438*$N438*$AL$11)+(AK438/12*5*$F438*$G438*$I438*$N438*$AL$12)+(AK438/12*5*$F438*$G438*$I438*$N438*$AL$13)</f>
        <v>532332.98873999994</v>
      </c>
      <c r="AM438" s="132"/>
      <c r="AN438" s="123">
        <f>(AM438/12*2*$E438*$G438*$H438*$N438*$AN$11)+(AM438/12*10*$F438*$G438*$I438*$N438*$AN$12)</f>
        <v>0</v>
      </c>
      <c r="AO438" s="130"/>
      <c r="AP438" s="127">
        <f>(AO438/12*2*$E438*$G438*$H438*$N438*$AP$11)+(AO438/12*10*$F438*$G438*$I438*$N438*$AP$11)</f>
        <v>0</v>
      </c>
      <c r="AQ438" s="127">
        <v>24</v>
      </c>
      <c r="AR438" s="127">
        <v>1211737.9800000002</v>
      </c>
      <c r="AS438" s="123"/>
      <c r="AT438" s="123"/>
      <c r="AU438" s="123"/>
      <c r="AV438" s="126"/>
      <c r="AW438" s="123">
        <v>2</v>
      </c>
      <c r="AX438" s="123">
        <f>(AW438/12*2*$E438*$G438*$H438*$M438*$AX$11)+(AW438/12*10*$F438*$G438*$I438*$M438*$AX$12)</f>
        <v>87799.366199999975</v>
      </c>
      <c r="AY438" s="123">
        <v>45</v>
      </c>
      <c r="AZ438" s="123">
        <f>(AY438/12*2*$E438*$G438*$H438*$N438*$AZ$11)+(AY438/12*10*$F438*$G438*$I438*$N438*$AZ$11)</f>
        <v>2266567.7958</v>
      </c>
      <c r="BA438" s="123"/>
      <c r="BB438" s="123">
        <f>(BA438/12*2*$E438*$G438*$H438*$N438*$BB$11)+(BA438/12*10*$F438*$G438*$I438*$N438*$BB$12)</f>
        <v>0</v>
      </c>
      <c r="BC438" s="123"/>
      <c r="BD438" s="126"/>
      <c r="BE438" s="123">
        <v>2</v>
      </c>
      <c r="BF438" s="123">
        <f>(BE438/12*10*$F438*$G438*$I438*$N438*$BF$12)</f>
        <v>75582.611999999994</v>
      </c>
      <c r="BG438" s="123">
        <v>8</v>
      </c>
      <c r="BH438" s="123">
        <f>(BG438/12*2*$E438*$G438*$H438*$N438*$BH$11)+(BG438/12*10*$F438*$G438*$I438*$N438*$BH$11)</f>
        <v>329682.58847999998</v>
      </c>
      <c r="BI438" s="123">
        <v>4</v>
      </c>
      <c r="BJ438" s="126">
        <f>(BI438/12*2*$E438*$G438*$H438*$N438*$BJ$11)+(BI438/12*10*$F438*$G438*$I438*$N438*$BJ$11)</f>
        <v>219788.39231999998</v>
      </c>
      <c r="BK438" s="123">
        <v>6</v>
      </c>
      <c r="BL438" s="127">
        <f>(BK438/12*2*$E438*$G438*$H438*$N438*$BL$11)+(BK438/12*10*$F438*$G438*$I438*$N438*$BL$11)</f>
        <v>329682.58847999998</v>
      </c>
      <c r="BM438" s="123"/>
      <c r="BN438" s="123">
        <f>(BM438/12*2*$E438*$G438*$H438*$M438*$BN$11)+(BM438/12*10*$F438*$G438*$I438*$M438*$BN$11)</f>
        <v>0</v>
      </c>
      <c r="BO438" s="123"/>
      <c r="BP438" s="123">
        <f>(BO438/12*2*$E438*$G438*$H438*$M438*$BP$11)+(BO438/12*10*$F438*$G438*$I438*$M438*$BP$12)</f>
        <v>0</v>
      </c>
      <c r="BQ438" s="123"/>
      <c r="BR438" s="123">
        <f>(BQ438/12*2*$E438*$G438*$H438*$M438*$BR$11)+(BQ438/12*10*$F438*$G438*$I438*$M438*$BR$11)</f>
        <v>0</v>
      </c>
      <c r="BS438" s="123">
        <v>4</v>
      </c>
      <c r="BT438" s="123">
        <f>(BS438/12*2*$E438*$G438*$H438*$N438*$BT$11)+(BS438/12*10*$F438*$G438*$I438*$N438*$BT$11)</f>
        <v>183156.99359999999</v>
      </c>
      <c r="BU438" s="123"/>
      <c r="BV438" s="126">
        <f>(BU438/12*2*$E438*$G438*$H438*$M438*$BV$11)+(BU438/12*10*$F438*$G438*$I438*$M438*$BV$11)</f>
        <v>0</v>
      </c>
      <c r="BW438" s="123"/>
      <c r="BX438" s="123">
        <f>(BW438/12*2*$E438*$G438*$H438*$M438*$BX$11)+(BW438/12*10*$F438*$G438*$I438*$M438*$BX$11)</f>
        <v>0</v>
      </c>
      <c r="BY438" s="123"/>
      <c r="BZ438" s="123">
        <f>(BY438/12*2*$E438*$G438*$H438*$M438*$BZ$11)+(BY438/12*10*$F438*$G438*$I438*$M438*$BZ$11)</f>
        <v>0</v>
      </c>
      <c r="CA438" s="123">
        <v>4</v>
      </c>
      <c r="CB438" s="123">
        <f>(CA438/12*2*$E438*$G438*$H438*$M438*$CB$11)+(CA438/12*10*$F438*$G438*$I438*$M438*$CB$11)</f>
        <v>183156.99359999996</v>
      </c>
      <c r="CC438" s="123">
        <v>5</v>
      </c>
      <c r="CD438" s="123">
        <f>(CC438/12*2*$E438*$G438*$H438*$M438*$CD$11)+(CC438/12*10*$F438*$G438*$I438*$M438*$CD$11)</f>
        <v>190788.53500000003</v>
      </c>
      <c r="CE438" s="123"/>
      <c r="CF438" s="123">
        <f>(CE438/12*10*$F438*$G438*$I438*$N438*$CF$11)</f>
        <v>0</v>
      </c>
      <c r="CG438" s="132"/>
      <c r="CH438" s="123">
        <f>(CG438/12*2*$E438*$G438*$H438*$N438*$CH$11)+(CG438/12*10*$F438*$G438*$I438*$N438*$CH$11)</f>
        <v>0</v>
      </c>
      <c r="CI438" s="123"/>
      <c r="CJ438" s="127"/>
      <c r="CK438" s="123"/>
      <c r="CL438" s="123">
        <f>(CK438/12*2*$E438*$G438*$H438*$N438*$CL$11)+(CK438/12*10*$F438*$G438*$I438*$N438*$CL$12)</f>
        <v>0</v>
      </c>
      <c r="CM438" s="130"/>
      <c r="CN438" s="123">
        <f>(CM438/12*2*$E438*$G438*$H438*$N438*$CN$11)+(CM438/12*10*$F438*$G438*$I438*$N438*$CN$11)</f>
        <v>0</v>
      </c>
      <c r="CO438" s="123">
        <v>8</v>
      </c>
      <c r="CP438" s="123">
        <v>375986.96</v>
      </c>
      <c r="CQ438" s="123">
        <v>4</v>
      </c>
      <c r="CR438" s="123">
        <f>(CQ438/12*2*$E438*$G438*$H438*$O438*$CR$11)+(CQ438/12*10*$F438*$G438*$I438*$O438*$CR$11)</f>
        <v>243119.10459999996</v>
      </c>
      <c r="CS438" s="123">
        <v>5</v>
      </c>
      <c r="CT438" s="133">
        <f>(CS438/12*2*$E438*$G438*$H438*$P438*$CT$11)+(CS438/12*10*$F438*$G438*$I438*$P438*$CT$11)</f>
        <v>350233.23925000004</v>
      </c>
      <c r="CU438" s="127"/>
      <c r="CV438" s="123"/>
      <c r="CW438" s="126">
        <f t="shared" ref="CW438:CX446" si="558">SUM(Q438,S438,U438,W438,Y438,AA438,AC438,AE438,AG438,AM438,BQ438,AI438,AU438,CC438,AW438,AY438,AK438,BC438,AO438,AQ438,BE438,CE438,BG438,BI438,BK438,BS438,BM438,BO438,BU438,BW438,BY438,CA438,CG438,BA438,AS438,CI438,CK438,CM438,CO438,CQ438,CS438,CU438)</f>
        <v>188</v>
      </c>
      <c r="CX438" s="126">
        <f t="shared" si="558"/>
        <v>9014077.8446699996</v>
      </c>
    </row>
    <row r="439" spans="1:102" ht="30" x14ac:dyDescent="0.25">
      <c r="A439" s="91"/>
      <c r="B439" s="116">
        <v>362</v>
      </c>
      <c r="C439" s="117" t="s">
        <v>996</v>
      </c>
      <c r="D439" s="161" t="s">
        <v>997</v>
      </c>
      <c r="E439" s="95">
        <v>28004</v>
      </c>
      <c r="F439" s="96">
        <v>29405</v>
      </c>
      <c r="G439" s="119">
        <v>1.49</v>
      </c>
      <c r="H439" s="107">
        <v>1</v>
      </c>
      <c r="I439" s="110">
        <v>0.95</v>
      </c>
      <c r="J439" s="108"/>
      <c r="K439" s="108"/>
      <c r="L439" s="63"/>
      <c r="M439" s="120">
        <v>1.4</v>
      </c>
      <c r="N439" s="120">
        <v>1.68</v>
      </c>
      <c r="O439" s="120">
        <v>2.23</v>
      </c>
      <c r="P439" s="121">
        <v>2.57</v>
      </c>
      <c r="Q439" s="285">
        <v>650</v>
      </c>
      <c r="R439" s="123">
        <f>(Q439/12*2*$E439*$G439*$H439*$M439*$R$11)+(Q439/12*10*$F439*$G439*$I439*$M439*$R$11)</f>
        <v>41681614.557916656</v>
      </c>
      <c r="S439" s="124">
        <v>18</v>
      </c>
      <c r="T439" s="125">
        <f>(S439/12*2*$E439*$G439*$H439*$M439*$R$11)+(S439/12*10*$F439*$G439*$I439*$M439*$R$11)</f>
        <v>1154260.0954499999</v>
      </c>
      <c r="U439" s="123"/>
      <c r="V439" s="123">
        <f>(U439/12*2*$E439*$G439*$H439*$M439*$V$11)+(U439/12*10*$F439*$G439*$I439*$M439*$V$12)</f>
        <v>0</v>
      </c>
      <c r="W439" s="123"/>
      <c r="X439" s="126">
        <f>(W439/12*2*$E439*$G439*$H439*$M439*$X$11)+(W439/12*10*$F439*$G439*$I439*$M439*$X$12)</f>
        <v>0</v>
      </c>
      <c r="Y439" s="123"/>
      <c r="Z439" s="123">
        <f>(Y439/12*2*$E439*$G439*$H439*$M439*$Z$11)+(Y439/12*10*$F439*$G439*$I439*$M439*$Z$12)</f>
        <v>0</v>
      </c>
      <c r="AA439" s="123"/>
      <c r="AB439" s="123">
        <f>(AA439/12*2*$E439*$G439*$H439*$M439*$AB$11)+(AA439/12*10*$F439*$G439*$I439*$M439*$AB$11)</f>
        <v>0</v>
      </c>
      <c r="AC439" s="123"/>
      <c r="AD439" s="123"/>
      <c r="AE439" s="123">
        <v>144</v>
      </c>
      <c r="AF439" s="127">
        <f>(AE439/12*2*$E439*$G439*$H439*$M439*$AF$11)+(AE439/12*10*$F439*$G439*$I439*$M439*$AF$11)</f>
        <v>9234080.7635999992</v>
      </c>
      <c r="AG439" s="123">
        <v>83</v>
      </c>
      <c r="AH439" s="126">
        <f>(AG439/12*2*$E439*$G439*$H439*$M439*$AH$11)+(AG439/12*10*$F439*$G439*$I439*$M439*$AH$11)</f>
        <v>5322421.551241667</v>
      </c>
      <c r="AI439" s="130">
        <v>15</v>
      </c>
      <c r="AJ439" s="123">
        <f t="shared" si="556"/>
        <v>1129487.3200625</v>
      </c>
      <c r="AK439" s="123">
        <f>263-63</f>
        <v>200</v>
      </c>
      <c r="AL439" s="123">
        <f t="shared" si="557"/>
        <v>18071797.120999999</v>
      </c>
      <c r="AM439" s="132"/>
      <c r="AN439" s="123">
        <f>(AM439/12*2*$E439*$G439*$H439*$N439*$AN$11)+(AM439/12*10*$F439*$G439*$I439*$N439*$AN$12)</f>
        <v>0</v>
      </c>
      <c r="AO439" s="130"/>
      <c r="AP439" s="127">
        <f>(AO439/12*2*$E439*$G439*$H439*$N439*$AP$11)+(AO439/12*10*$F439*$G439*$I439*$N439*$AP$11)</f>
        <v>0</v>
      </c>
      <c r="AQ439" s="127">
        <v>39</v>
      </c>
      <c r="AR439" s="127">
        <v>2962235.33</v>
      </c>
      <c r="AS439" s="123"/>
      <c r="AT439" s="123"/>
      <c r="AU439" s="123"/>
      <c r="AV439" s="126"/>
      <c r="AW439" s="123">
        <v>32</v>
      </c>
      <c r="AX439" s="123">
        <f>(AW439/12*2*$E439*$G439*$H439*$M439*$AX$11)+(AW439/12*10*$F439*$G439*$I439*$M439*$AX$12)</f>
        <v>2145330.0119999992</v>
      </c>
      <c r="AY439" s="123">
        <v>587</v>
      </c>
      <c r="AZ439" s="123">
        <f>(AY439/12*2*$E439*$G439*$H439*$N439*$AZ$11)+(AY439/12*10*$F439*$G439*$I439*$N439*$AZ$11)</f>
        <v>45170045.068609998</v>
      </c>
      <c r="BA439" s="123"/>
      <c r="BB439" s="123">
        <f>(BA439/12*2*$E439*$G439*$H439*$N439*$BB$11)+(BA439/12*10*$F439*$G439*$I439*$N439*$BB$12)</f>
        <v>0</v>
      </c>
      <c r="BC439" s="123"/>
      <c r="BD439" s="126"/>
      <c r="BE439" s="123">
        <v>85</v>
      </c>
      <c r="BF439" s="123">
        <f>(BE439/12*10*$F439*$G439*$I439*$N439*$BF$12)</f>
        <v>4953110.522499999</v>
      </c>
      <c r="BG439" s="123">
        <v>18</v>
      </c>
      <c r="BH439" s="123">
        <f>(BG439/12*2*$E439*$G439*$H439*$N439*$BH$11)+(BG439/12*10*$F439*$G439*$I439*$N439*$BH$11)</f>
        <v>1133273.5482600001</v>
      </c>
      <c r="BI439" s="123">
        <v>60</v>
      </c>
      <c r="BJ439" s="126">
        <f>(BI439/12*2*$E439*$G439*$H439*$N439*$BJ$11)+(BI439/12*10*$F439*$G439*$I439*$N439*$BJ$11)</f>
        <v>5036771.3256000001</v>
      </c>
      <c r="BK439" s="123">
        <v>77</v>
      </c>
      <c r="BL439" s="127">
        <f>(BK439/12*2*$E439*$G439*$H439*$N439*$BL$11)+(BK439/12*10*$F439*$G439*$I439*$N439*$BL$11)</f>
        <v>6463856.5345200002</v>
      </c>
      <c r="BM439" s="123"/>
      <c r="BN439" s="123">
        <f>(BM439/12*2*$E439*$G439*$H439*$M439*$BN$11)+(BM439/12*10*$F439*$G439*$I439*$M439*$BN$11)</f>
        <v>0</v>
      </c>
      <c r="BO439" s="123"/>
      <c r="BP439" s="123">
        <f>(BO439/12*2*$E439*$G439*$H439*$M439*$BP$11)+(BO439/12*10*$F439*$G439*$I439*$M439*$BP$12)</f>
        <v>0</v>
      </c>
      <c r="BQ439" s="123"/>
      <c r="BR439" s="123">
        <f>(BQ439/12*2*$E439*$G439*$H439*$M439*$BR$11)+(BQ439/12*10*$F439*$G439*$I439*$M439*$BR$11)</f>
        <v>0</v>
      </c>
      <c r="BS439" s="123">
        <v>95</v>
      </c>
      <c r="BT439" s="123">
        <f>(BS439/12*2*$E439*$G439*$H439*$N439*$BT$11)+(BS439/12*10*$F439*$G439*$I439*$N439*$BT$11)</f>
        <v>6645739.9434999991</v>
      </c>
      <c r="BU439" s="123"/>
      <c r="BV439" s="126">
        <f>(BU439/12*2*$E439*$G439*$H439*$M439*$BV$11)+(BU439/12*10*$F439*$G439*$I439*$M439*$BV$11)</f>
        <v>0</v>
      </c>
      <c r="BW439" s="123">
        <v>35</v>
      </c>
      <c r="BX439" s="123">
        <f>(BW439/12*2*$E439*$G439*$H439*$M439*$BX$11)+(BW439/12*10*$F439*$G439*$I439*$M439*$BX$11)</f>
        <v>1632287.0036666663</v>
      </c>
      <c r="BY439" s="123"/>
      <c r="BZ439" s="123">
        <f>(BY439/12*2*$E439*$G439*$H439*$M439*$BZ$11)+(BY439/12*10*$F439*$G439*$I439*$M439*$BZ$11)</f>
        <v>0</v>
      </c>
      <c r="CA439" s="123">
        <v>170</v>
      </c>
      <c r="CB439" s="123">
        <f>(CA439/12*2*$E439*$G439*$H439*$M439*$CB$11)+(CA439/12*10*$F439*$G439*$I439*$M439*$CB$11)</f>
        <v>11892376.740999997</v>
      </c>
      <c r="CC439" s="123">
        <v>28</v>
      </c>
      <c r="CD439" s="123">
        <f>(CC439/12*2*$E439*$G439*$H439*$M439*$CD$11)+(CC439/12*10*$F439*$G439*$I439*$M439*$CD$11)</f>
        <v>1632287.0036666668</v>
      </c>
      <c r="CE439" s="123"/>
      <c r="CF439" s="123">
        <f>(CE439/12*10*$F439*$G439*$I439*$N439*$CF$11)</f>
        <v>0</v>
      </c>
      <c r="CG439" s="132"/>
      <c r="CH439" s="123">
        <f>(CG439/12*2*$E439*$G439*$H439*$N439*$CH$11)+(CG439/12*10*$F439*$G439*$I439*$N439*$CH$11)</f>
        <v>0</v>
      </c>
      <c r="CI439" s="123"/>
      <c r="CJ439" s="127"/>
      <c r="CK439" s="123"/>
      <c r="CL439" s="123">
        <f>(CK439/12*2*$E439*$G439*$H439*$N439*$CL$11)+(CK439/12*10*$F439*$G439*$I439*$N439*$CL$12)</f>
        <v>0</v>
      </c>
      <c r="CM439" s="130"/>
      <c r="CN439" s="123">
        <f>(CM439/12*2*$E439*$G439*$H439*$N439*$CN$11)+(CM439/12*10*$F439*$G439*$I439*$N439*$CN$11)</f>
        <v>0</v>
      </c>
      <c r="CO439" s="123">
        <v>75</v>
      </c>
      <c r="CP439" s="123">
        <v>3009083.0300000003</v>
      </c>
      <c r="CQ439" s="123"/>
      <c r="CR439" s="123">
        <f>(CQ439/12*2*$E439*$G439*$H439*$O439*$CR$11)+(CQ439/12*10*$F439*$G439*$I439*$O439*$CR$11)</f>
        <v>0</v>
      </c>
      <c r="CS439" s="123">
        <v>15</v>
      </c>
      <c r="CT439" s="133">
        <f>(CS439/12*2*$E439*$G439*$H439*$P439*$CT$11)+(CS439/12*10*$F439*$G439*$I439*$P439*$CT$11)</f>
        <v>1605221.0201874999</v>
      </c>
      <c r="CU439" s="127"/>
      <c r="CV439" s="123"/>
      <c r="CW439" s="126">
        <f t="shared" si="558"/>
        <v>2426</v>
      </c>
      <c r="CX439" s="126">
        <f t="shared" si="558"/>
        <v>170875278.49278167</v>
      </c>
    </row>
    <row r="440" spans="1:102" ht="19.5" customHeight="1" x14ac:dyDescent="0.25">
      <c r="A440" s="91"/>
      <c r="B440" s="116">
        <v>363</v>
      </c>
      <c r="C440" s="117" t="s">
        <v>998</v>
      </c>
      <c r="D440" s="161" t="s">
        <v>999</v>
      </c>
      <c r="E440" s="95">
        <v>28004</v>
      </c>
      <c r="F440" s="96">
        <v>29405</v>
      </c>
      <c r="G440" s="119">
        <v>2.14</v>
      </c>
      <c r="H440" s="107">
        <v>1</v>
      </c>
      <c r="I440" s="108"/>
      <c r="J440" s="108"/>
      <c r="K440" s="108"/>
      <c r="L440" s="63"/>
      <c r="M440" s="120">
        <v>1.4</v>
      </c>
      <c r="N440" s="120">
        <v>1.68</v>
      </c>
      <c r="O440" s="120">
        <v>2.23</v>
      </c>
      <c r="P440" s="121">
        <v>2.57</v>
      </c>
      <c r="Q440" s="285">
        <v>2</v>
      </c>
      <c r="R440" s="123">
        <f t="shared" ref="R440:R446" si="559">(Q440/12*2*$E440*$G440*$H440*$M440*$R$11)+(Q440/12*10*$F440*$G440*$H440*$M440*$R$11)</f>
        <v>192275.19079999998</v>
      </c>
      <c r="S440" s="124">
        <f>5-4</f>
        <v>1</v>
      </c>
      <c r="T440" s="125">
        <f t="shared" ref="T440:T446" si="560">(S440/12*2*$E440*$G440*$H440*$M440*$R$11)+(S440/12*10*$F440*$G440*$H440*$M440*$R$11)</f>
        <v>96137.595399999991</v>
      </c>
      <c r="U440" s="123"/>
      <c r="V440" s="123">
        <f t="shared" ref="V440:V446" si="561">(U440/12*2*$E440*$G440*$H440*$M440*$V$11)+(U440/12*10*$F440*$G440*$H440*$M440*$V$12)</f>
        <v>0</v>
      </c>
      <c r="W440" s="123"/>
      <c r="X440" s="126">
        <f t="shared" ref="X440:X446" si="562">(W440/12*2*$E440*$G440*$H440*$M440*$X$11)+(W440/12*10*$F440*$G440*$H440*$M440*$X$12)</f>
        <v>0</v>
      </c>
      <c r="Y440" s="123">
        <v>2</v>
      </c>
      <c r="Z440" s="123">
        <f t="shared" ref="Z440:Z446" si="563">(Y440/12*2*$E440*$G440*$H440*$M440*$Z$11)+(Y440/12*10*$F440*$G440*$H440*$M440*$Z$12)</f>
        <v>234435.85153333331</v>
      </c>
      <c r="AA440" s="123"/>
      <c r="AB440" s="123">
        <f t="shared" ref="AB440:AB446" si="564">(AA440/12*2*$E440*$G440*$H440*$M440*$AB$11)+(AA440/12*10*$F440*$G440*$H440*$M440*$AB$11)</f>
        <v>0</v>
      </c>
      <c r="AC440" s="123"/>
      <c r="AD440" s="123"/>
      <c r="AE440" s="123"/>
      <c r="AF440" s="123">
        <f t="shared" ref="AF440:AF446" si="565">(AE440/12*2*$E440*$G440*$H440*$M440*$AF$11)+(AE440/12*10*$F440*$G440*$H440*$M440*$AF$11)</f>
        <v>0</v>
      </c>
      <c r="AG440" s="135">
        <v>0</v>
      </c>
      <c r="AH440" s="136">
        <f t="shared" ref="AH440:AH446" si="566">(AG440/12*2*$E440*$G440*$H440*$M440*$AH$11)+(AG440/12*10*$F440*$G440*$H440*$M440*$AH$11)</f>
        <v>0</v>
      </c>
      <c r="AI440" s="123"/>
      <c r="AJ440" s="123">
        <f t="shared" ref="AJ440:AJ446" si="567">(AI440/12*2*$E440*$G440*$H440*$M440*$AJ$11)+(AI440/12*5*$F440*$G440*$H440*$M440*$AJ$12)+(AI440/12*5*$F440*$G440*$H440*$M440*$AJ$13)</f>
        <v>0</v>
      </c>
      <c r="AK440" s="123"/>
      <c r="AL440" s="123">
        <f t="shared" ref="AL440:AL446" si="568">(AK440/12*2*$E440*$G440*$H440*$N440*$AL$11)+(AK440/12*5*$F440*$G440*$H440*$N440*$AL$12)++(AK440/12*5*$F440*$G440*$H440*$N440*$AL$13)</f>
        <v>0</v>
      </c>
      <c r="AM440" s="132"/>
      <c r="AN440" s="123">
        <f t="shared" ref="AN440:AN446" si="569">(AM440/12*2*$E440*$G440*$H440*$N440*$AN$11)+(AM440/12*10*$F440*$G440*$H440*$N440*$AN$12)</f>
        <v>0</v>
      </c>
      <c r="AO440" s="130"/>
      <c r="AP440" s="127">
        <f t="shared" ref="AP440:AP446" si="570">(AO440/12*2*$E440*$G440*$H440*$N440*$AP$11)+(AO440/12*10*$F440*$G440*$H440*$N440*$AP$11)</f>
        <v>0</v>
      </c>
      <c r="AQ440" s="127">
        <v>0</v>
      </c>
      <c r="AR440" s="127">
        <v>0</v>
      </c>
      <c r="AS440" s="123"/>
      <c r="AT440" s="123">
        <f t="shared" ref="AT440:AT446" si="571">(AS440/12*2*$E440*$G440*$H440*$M440*$AT$11)+(AS440/12*10*$F440*$G440*$H440*$M440*$AT$11)</f>
        <v>0</v>
      </c>
      <c r="AU440" s="123"/>
      <c r="AV440" s="126">
        <f t="shared" ref="AV440:AV446" si="572">(AU440/12*2*$E440*$G440*$H440*$M440*$AV$11)+(AU440/12*10*$F440*$G440*$H440*$M440*$AV$12)</f>
        <v>0</v>
      </c>
      <c r="AW440" s="123"/>
      <c r="AX440" s="123">
        <f t="shared" ref="AX440:AX446" si="573">(AW440/12*2*$E440*$G440*$H440*$M440*$AX$11)+(AW440/12*10*$F440*$G440*$H440*$M440*$AX$12)</f>
        <v>0</v>
      </c>
      <c r="AY440" s="123">
        <v>0</v>
      </c>
      <c r="AZ440" s="123">
        <f t="shared" ref="AZ440:AZ446" si="574">(AY440/12*2*$E440*$G440*$H440*$N440*$AZ$11)+(AY440/12*10*$F440*$G440*$H440*$N440*$AZ$11)</f>
        <v>0</v>
      </c>
      <c r="BA440" s="123"/>
      <c r="BB440" s="123">
        <f t="shared" ref="BB440:BB445" si="575">(BA440/12*2*$E440*$G440*$H440*$N440*$BB$11)+(BA440/12*10*$F440*$G440*$H440*$N440*$BB$12)</f>
        <v>0</v>
      </c>
      <c r="BC440" s="123"/>
      <c r="BD440" s="126">
        <f t="shared" ref="BD440:BD446" si="576">(BC440/12*2*$E440*$G440*$H440*$N440*$BD$11)+(BC440/12*10*$F440*$G440*$H440*$N440*$BD$12)</f>
        <v>0</v>
      </c>
      <c r="BE440" s="123"/>
      <c r="BF440" s="123">
        <f t="shared" ref="BF440:BF446" si="577">(BE440/12*10*$F440*$G440*$H440*$N440*$BF$12)</f>
        <v>0</v>
      </c>
      <c r="BG440" s="123"/>
      <c r="BH440" s="123">
        <f t="shared" ref="BH440:BH446" si="578">(BG440/12*2*$E440*$G440*$H440*$N440*$BH$11)+(BG440/12*10*$F440*$G440*$H440*$N440*$BH$11)</f>
        <v>0</v>
      </c>
      <c r="BI440" s="123"/>
      <c r="BJ440" s="126">
        <f t="shared" ref="BJ440:BJ446" si="579">(BI440/12*2*$E440*$G440*$H440*$N440*$BJ$11)+(BI440/12*10*$F440*$G440*$H440*$N440*$BJ$11)</f>
        <v>0</v>
      </c>
      <c r="BK440" s="123"/>
      <c r="BL440" s="127">
        <f t="shared" ref="BL440:BL446" si="580">(BK440/12*2*$E440*$G440*$H440*$N440*$BL$11)+(BK440/12*10*$F440*$G440*$H440*$N440*$BL$11)</f>
        <v>0</v>
      </c>
      <c r="BM440" s="123"/>
      <c r="BN440" s="123">
        <f t="shared" ref="BN440:BN446" si="581">(BM440/12*2*$E440*$G440*$H440*$M440*$BN$11)+(BM440/12*10*$F440*$G440*$H440*$M440*$BN$11)</f>
        <v>0</v>
      </c>
      <c r="BO440" s="123"/>
      <c r="BP440" s="123">
        <f t="shared" ref="BP440:BP446" si="582">(BO440/12*2*$E440*$G440*$H440*$M440*$BP$11)+(BO440/12*10*$F440*$G440*$H440*$M440*$BP$12)</f>
        <v>0</v>
      </c>
      <c r="BQ440" s="123"/>
      <c r="BR440" s="123">
        <f t="shared" ref="BR440:BR446" si="583">(BQ440/12*2*$E440*$G440*$H440*$M440*$BR$11)+(BQ440/12*10*$F440*$G440*$H440*$M440*$BR$11)</f>
        <v>0</v>
      </c>
      <c r="BS440" s="123"/>
      <c r="BT440" s="123">
        <f t="shared" ref="BT440:BT446" si="584">(BS440/12*2*$E440*$G440*$H440*$N440*$BT$11)+(BS440/12*10*$F440*$G440*$H440*$N440*$BT$11)</f>
        <v>0</v>
      </c>
      <c r="BU440" s="123"/>
      <c r="BV440" s="126">
        <f t="shared" ref="BV440:BV446" si="585">(BU440/12*2*$E440*$G440*$H440*$M440*$BV$11)+(BU440/12*10*$F440*$G440*$H440*$M440*$BV$11)</f>
        <v>0</v>
      </c>
      <c r="BW440" s="123"/>
      <c r="BX440" s="123">
        <f t="shared" ref="BX440:BX446" si="586">(BW440/12*2*$E440*$G440*$H440*$M440*$BX$11)+(BW440/12*10*$F440*$G440*$H440*$M440*$BX$11)</f>
        <v>0</v>
      </c>
      <c r="BY440" s="123"/>
      <c r="BZ440" s="123">
        <f t="shared" ref="BZ440:BZ446" si="587">(BY440/12*2*$E440*$G440*$H440*$M440*$BZ$11)+(BY440/12*10*$F440*$G440*$H440*$M440*$BZ$11)</f>
        <v>0</v>
      </c>
      <c r="CA440" s="123"/>
      <c r="CB440" s="123">
        <f t="shared" ref="CB440:CB446" si="588">(CA440/12*2*$E440*$G440*$H440*$M440*$CB$11)+(CA440/12*10*$F440*$G440*$H440*$M440*$CB$11)</f>
        <v>0</v>
      </c>
      <c r="CC440" s="123"/>
      <c r="CD440" s="123">
        <f t="shared" ref="CD440:CD446" si="589">(CC440/12*2*$E440*$G440*$H440*$M440*$CD$11)+(CC440/12*10*$F440*$G440*$H440*$M440*$CD$11)</f>
        <v>0</v>
      </c>
      <c r="CE440" s="123"/>
      <c r="CF440" s="123">
        <f t="shared" ref="CF440:CF446" si="590">(CE440/12*10*$F440*$G440*$H440*$N440*$CF$11)</f>
        <v>0</v>
      </c>
      <c r="CG440" s="132"/>
      <c r="CH440" s="123">
        <f t="shared" ref="CH440:CH446" si="591">(CG440/12*2*$E440*$G440*$H440*$N440*$CH$11)+(CG440/12*10*$F440*$G440*$H440*$N440*$CH$11)</f>
        <v>0</v>
      </c>
      <c r="CI440" s="123"/>
      <c r="CJ440" s="127"/>
      <c r="CK440" s="123"/>
      <c r="CL440" s="123">
        <f t="shared" ref="CL440:CL446" si="592">(CK440/12*2*$E440*$G440*$H440*$N440*$CL$11)+(CK440/12*10*$F440*$G440*$H440*$N440*$CL$12)</f>
        <v>0</v>
      </c>
      <c r="CM440" s="130"/>
      <c r="CN440" s="123">
        <f t="shared" ref="CN440:CN446" si="593">(CM440/12*2*$E440*$G440*$H440*$N440*$CN$11)+(CM440/12*10*$F440*$G440*$H440*$N440*$CN$11)</f>
        <v>0</v>
      </c>
      <c r="CO440" s="123">
        <v>0</v>
      </c>
      <c r="CP440" s="123">
        <v>0</v>
      </c>
      <c r="CQ440" s="123"/>
      <c r="CR440" s="123">
        <f t="shared" ref="CR440:CR446" si="594">(CQ440/12*2*$E440*$G440*$H440*$O440*$CR$11)+(CQ440/12*10*$F440*$G440*$H440*$O440*$CR$11)</f>
        <v>0</v>
      </c>
      <c r="CS440" s="123"/>
      <c r="CT440" s="133">
        <f t="shared" ref="CT440:CT446" si="595">(CS440/12*2*$E440*$G440*$H440*$P440*$CT$11)+(CS440/12*10*$F440*$G440*$H440*$P440*$CT$11)</f>
        <v>0</v>
      </c>
      <c r="CU440" s="127"/>
      <c r="CV440" s="123">
        <f t="shared" ref="CV440:CV446" si="596">(CU440*$E440*$G440*$H440*$M440*CV$11)/12*6+(CU440*$E440*$G440*$H440*1*CV$11)/12*6</f>
        <v>0</v>
      </c>
      <c r="CW440" s="126">
        <f t="shared" si="558"/>
        <v>5</v>
      </c>
      <c r="CX440" s="126">
        <f t="shared" si="558"/>
        <v>522848.63773333328</v>
      </c>
    </row>
    <row r="441" spans="1:102" ht="27.75" customHeight="1" x14ac:dyDescent="0.25">
      <c r="A441" s="91"/>
      <c r="B441" s="116">
        <v>364</v>
      </c>
      <c r="C441" s="117" t="s">
        <v>1000</v>
      </c>
      <c r="D441" s="161" t="s">
        <v>1001</v>
      </c>
      <c r="E441" s="95">
        <v>28004</v>
      </c>
      <c r="F441" s="96">
        <v>29405</v>
      </c>
      <c r="G441" s="119">
        <v>1.25</v>
      </c>
      <c r="H441" s="107">
        <v>1</v>
      </c>
      <c r="I441" s="108"/>
      <c r="J441" s="108"/>
      <c r="K441" s="108"/>
      <c r="L441" s="63"/>
      <c r="M441" s="120">
        <v>1.4</v>
      </c>
      <c r="N441" s="120">
        <v>1.68</v>
      </c>
      <c r="O441" s="120">
        <v>2.23</v>
      </c>
      <c r="P441" s="121">
        <v>2.57</v>
      </c>
      <c r="Q441" s="285">
        <v>84</v>
      </c>
      <c r="R441" s="123">
        <f t="shared" si="559"/>
        <v>4717031.5500000007</v>
      </c>
      <c r="S441" s="124"/>
      <c r="T441" s="125">
        <f t="shared" si="560"/>
        <v>0</v>
      </c>
      <c r="U441" s="123"/>
      <c r="V441" s="123">
        <f t="shared" si="561"/>
        <v>0</v>
      </c>
      <c r="W441" s="123"/>
      <c r="X441" s="126">
        <f t="shared" si="562"/>
        <v>0</v>
      </c>
      <c r="Y441" s="123"/>
      <c r="Z441" s="123">
        <f t="shared" si="563"/>
        <v>0</v>
      </c>
      <c r="AA441" s="123"/>
      <c r="AB441" s="123">
        <f t="shared" si="564"/>
        <v>0</v>
      </c>
      <c r="AC441" s="123"/>
      <c r="AD441" s="123"/>
      <c r="AE441" s="123"/>
      <c r="AF441" s="127">
        <f t="shared" si="565"/>
        <v>0</v>
      </c>
      <c r="AG441" s="123">
        <v>2</v>
      </c>
      <c r="AH441" s="126">
        <f t="shared" si="566"/>
        <v>112310.27499999999</v>
      </c>
      <c r="AI441" s="130"/>
      <c r="AJ441" s="123">
        <f t="shared" si="567"/>
        <v>0</v>
      </c>
      <c r="AK441" s="123">
        <v>4</v>
      </c>
      <c r="AL441" s="123">
        <f t="shared" si="568"/>
        <v>316494.43</v>
      </c>
      <c r="AM441" s="132">
        <v>9</v>
      </c>
      <c r="AN441" s="123">
        <f t="shared" si="569"/>
        <v>739458.87750000006</v>
      </c>
      <c r="AO441" s="130">
        <v>1</v>
      </c>
      <c r="AP441" s="127">
        <f t="shared" si="570"/>
        <v>67386.164999999994</v>
      </c>
      <c r="AQ441" s="127">
        <v>0</v>
      </c>
      <c r="AR441" s="127">
        <v>0</v>
      </c>
      <c r="AS441" s="123"/>
      <c r="AT441" s="123">
        <f t="shared" si="571"/>
        <v>0</v>
      </c>
      <c r="AU441" s="123"/>
      <c r="AV441" s="126">
        <f t="shared" si="572"/>
        <v>0</v>
      </c>
      <c r="AW441" s="123"/>
      <c r="AX441" s="123">
        <f t="shared" si="573"/>
        <v>0</v>
      </c>
      <c r="AY441" s="123">
        <v>3</v>
      </c>
      <c r="AZ441" s="123">
        <f t="shared" si="574"/>
        <v>202158.495</v>
      </c>
      <c r="BA441" s="123"/>
      <c r="BB441" s="123">
        <f t="shared" si="575"/>
        <v>0</v>
      </c>
      <c r="BC441" s="123"/>
      <c r="BD441" s="126">
        <f t="shared" si="576"/>
        <v>0</v>
      </c>
      <c r="BE441" s="123">
        <v>2</v>
      </c>
      <c r="BF441" s="123">
        <f t="shared" si="577"/>
        <v>102917.49999999999</v>
      </c>
      <c r="BG441" s="123">
        <v>3</v>
      </c>
      <c r="BH441" s="123">
        <f t="shared" si="578"/>
        <v>165402.405</v>
      </c>
      <c r="BI441" s="123">
        <v>6</v>
      </c>
      <c r="BJ441" s="126">
        <f t="shared" si="579"/>
        <v>441073.08</v>
      </c>
      <c r="BK441" s="123">
        <v>10</v>
      </c>
      <c r="BL441" s="127">
        <f t="shared" si="580"/>
        <v>735121.8</v>
      </c>
      <c r="BM441" s="123"/>
      <c r="BN441" s="123">
        <f t="shared" si="581"/>
        <v>0</v>
      </c>
      <c r="BO441" s="123"/>
      <c r="BP441" s="123">
        <f t="shared" si="582"/>
        <v>0</v>
      </c>
      <c r="BQ441" s="123"/>
      <c r="BR441" s="123">
        <f t="shared" si="583"/>
        <v>0</v>
      </c>
      <c r="BS441" s="123"/>
      <c r="BT441" s="123">
        <f t="shared" si="584"/>
        <v>0</v>
      </c>
      <c r="BU441" s="123"/>
      <c r="BV441" s="126">
        <f t="shared" si="585"/>
        <v>0</v>
      </c>
      <c r="BW441" s="123"/>
      <c r="BX441" s="123">
        <f t="shared" si="586"/>
        <v>0</v>
      </c>
      <c r="BY441" s="123"/>
      <c r="BZ441" s="123">
        <f t="shared" si="587"/>
        <v>0</v>
      </c>
      <c r="CA441" s="123">
        <v>2</v>
      </c>
      <c r="CB441" s="123">
        <f t="shared" si="588"/>
        <v>122520.29999999996</v>
      </c>
      <c r="CC441" s="123"/>
      <c r="CD441" s="123">
        <f t="shared" si="589"/>
        <v>0</v>
      </c>
      <c r="CE441" s="123"/>
      <c r="CF441" s="123">
        <f t="shared" si="590"/>
        <v>0</v>
      </c>
      <c r="CG441" s="132"/>
      <c r="CH441" s="123">
        <f t="shared" si="591"/>
        <v>0</v>
      </c>
      <c r="CI441" s="123"/>
      <c r="CJ441" s="127"/>
      <c r="CK441" s="123"/>
      <c r="CL441" s="123">
        <f t="shared" si="592"/>
        <v>0</v>
      </c>
      <c r="CM441" s="130"/>
      <c r="CN441" s="123">
        <f t="shared" si="593"/>
        <v>0</v>
      </c>
      <c r="CO441" s="123">
        <v>0</v>
      </c>
      <c r="CP441" s="123">
        <v>0</v>
      </c>
      <c r="CQ441" s="123"/>
      <c r="CR441" s="123">
        <f t="shared" si="594"/>
        <v>0</v>
      </c>
      <c r="CS441" s="123"/>
      <c r="CT441" s="133">
        <f t="shared" si="595"/>
        <v>0</v>
      </c>
      <c r="CU441" s="127"/>
      <c r="CV441" s="123">
        <f t="shared" si="596"/>
        <v>0</v>
      </c>
      <c r="CW441" s="126">
        <f t="shared" si="558"/>
        <v>126</v>
      </c>
      <c r="CX441" s="126">
        <f t="shared" si="558"/>
        <v>7721874.8775000013</v>
      </c>
    </row>
    <row r="442" spans="1:102" ht="27.75" customHeight="1" x14ac:dyDescent="0.25">
      <c r="A442" s="91"/>
      <c r="B442" s="116">
        <v>365</v>
      </c>
      <c r="C442" s="117" t="s">
        <v>1002</v>
      </c>
      <c r="D442" s="161" t="s">
        <v>1003</v>
      </c>
      <c r="E442" s="95">
        <v>28004</v>
      </c>
      <c r="F442" s="96">
        <v>29405</v>
      </c>
      <c r="G442" s="119">
        <v>2.76</v>
      </c>
      <c r="H442" s="107">
        <v>1</v>
      </c>
      <c r="I442" s="108"/>
      <c r="J442" s="108"/>
      <c r="K442" s="108"/>
      <c r="L442" s="63"/>
      <c r="M442" s="120">
        <v>1.4</v>
      </c>
      <c r="N442" s="120">
        <v>1.68</v>
      </c>
      <c r="O442" s="120">
        <v>2.23</v>
      </c>
      <c r="P442" s="121">
        <v>2.57</v>
      </c>
      <c r="Q442" s="285">
        <v>5</v>
      </c>
      <c r="R442" s="123">
        <f t="shared" si="559"/>
        <v>619952.71799999999</v>
      </c>
      <c r="S442" s="124"/>
      <c r="T442" s="125">
        <f t="shared" si="560"/>
        <v>0</v>
      </c>
      <c r="U442" s="123"/>
      <c r="V442" s="123">
        <f t="shared" si="561"/>
        <v>0</v>
      </c>
      <c r="W442" s="123"/>
      <c r="X442" s="126">
        <f t="shared" si="562"/>
        <v>0</v>
      </c>
      <c r="Y442" s="123"/>
      <c r="Z442" s="123">
        <f t="shared" si="563"/>
        <v>0</v>
      </c>
      <c r="AA442" s="123"/>
      <c r="AB442" s="123">
        <f t="shared" si="564"/>
        <v>0</v>
      </c>
      <c r="AC442" s="123"/>
      <c r="AD442" s="123"/>
      <c r="AE442" s="123"/>
      <c r="AF442" s="123">
        <f t="shared" si="565"/>
        <v>0</v>
      </c>
      <c r="AG442" s="135">
        <v>0</v>
      </c>
      <c r="AH442" s="136">
        <f t="shared" si="566"/>
        <v>0</v>
      </c>
      <c r="AI442" s="123"/>
      <c r="AJ442" s="123">
        <f t="shared" si="567"/>
        <v>0</v>
      </c>
      <c r="AK442" s="123"/>
      <c r="AL442" s="123">
        <f t="shared" si="568"/>
        <v>0</v>
      </c>
      <c r="AM442" s="132"/>
      <c r="AN442" s="123">
        <f t="shared" si="569"/>
        <v>0</v>
      </c>
      <c r="AO442" s="130"/>
      <c r="AP442" s="127">
        <f t="shared" si="570"/>
        <v>0</v>
      </c>
      <c r="AQ442" s="127">
        <v>0</v>
      </c>
      <c r="AR442" s="127">
        <v>0</v>
      </c>
      <c r="AS442" s="123"/>
      <c r="AT442" s="123">
        <f t="shared" si="571"/>
        <v>0</v>
      </c>
      <c r="AU442" s="123"/>
      <c r="AV442" s="126">
        <f t="shared" si="572"/>
        <v>0</v>
      </c>
      <c r="AW442" s="123"/>
      <c r="AX442" s="123">
        <f t="shared" si="573"/>
        <v>0</v>
      </c>
      <c r="AY442" s="123"/>
      <c r="AZ442" s="123">
        <f t="shared" si="574"/>
        <v>0</v>
      </c>
      <c r="BA442" s="123"/>
      <c r="BB442" s="123">
        <f t="shared" si="575"/>
        <v>0</v>
      </c>
      <c r="BC442" s="123"/>
      <c r="BD442" s="126">
        <f t="shared" si="576"/>
        <v>0</v>
      </c>
      <c r="BE442" s="123"/>
      <c r="BF442" s="123">
        <f t="shared" si="577"/>
        <v>0</v>
      </c>
      <c r="BG442" s="123">
        <v>2</v>
      </c>
      <c r="BH442" s="123">
        <f t="shared" si="578"/>
        <v>243472.34015999996</v>
      </c>
      <c r="BI442" s="123"/>
      <c r="BJ442" s="126">
        <f t="shared" si="579"/>
        <v>0</v>
      </c>
      <c r="BK442" s="123"/>
      <c r="BL442" s="127">
        <f t="shared" si="580"/>
        <v>0</v>
      </c>
      <c r="BM442" s="123"/>
      <c r="BN442" s="123">
        <f t="shared" si="581"/>
        <v>0</v>
      </c>
      <c r="BO442" s="123"/>
      <c r="BP442" s="123">
        <f t="shared" si="582"/>
        <v>0</v>
      </c>
      <c r="BQ442" s="123"/>
      <c r="BR442" s="123">
        <f t="shared" si="583"/>
        <v>0</v>
      </c>
      <c r="BS442" s="123"/>
      <c r="BT442" s="123">
        <f t="shared" si="584"/>
        <v>0</v>
      </c>
      <c r="BU442" s="123"/>
      <c r="BV442" s="126">
        <f t="shared" si="585"/>
        <v>0</v>
      </c>
      <c r="BW442" s="123"/>
      <c r="BX442" s="123">
        <f t="shared" si="586"/>
        <v>0</v>
      </c>
      <c r="BY442" s="123"/>
      <c r="BZ442" s="123">
        <f t="shared" si="587"/>
        <v>0</v>
      </c>
      <c r="CA442" s="123"/>
      <c r="CB442" s="123">
        <f t="shared" si="588"/>
        <v>0</v>
      </c>
      <c r="CC442" s="123"/>
      <c r="CD442" s="123">
        <f t="shared" si="589"/>
        <v>0</v>
      </c>
      <c r="CE442" s="123"/>
      <c r="CF442" s="123">
        <f t="shared" si="590"/>
        <v>0</v>
      </c>
      <c r="CG442" s="132"/>
      <c r="CH442" s="123">
        <f t="shared" si="591"/>
        <v>0</v>
      </c>
      <c r="CI442" s="123"/>
      <c r="CJ442" s="127"/>
      <c r="CK442" s="123"/>
      <c r="CL442" s="123">
        <f t="shared" si="592"/>
        <v>0</v>
      </c>
      <c r="CM442" s="130"/>
      <c r="CN442" s="123">
        <f t="shared" si="593"/>
        <v>0</v>
      </c>
      <c r="CO442" s="123">
        <v>0</v>
      </c>
      <c r="CP442" s="123">
        <v>0</v>
      </c>
      <c r="CQ442" s="123"/>
      <c r="CR442" s="123">
        <f t="shared" si="594"/>
        <v>0</v>
      </c>
      <c r="CS442" s="123"/>
      <c r="CT442" s="133">
        <f t="shared" si="595"/>
        <v>0</v>
      </c>
      <c r="CU442" s="127"/>
      <c r="CV442" s="123">
        <f t="shared" si="596"/>
        <v>0</v>
      </c>
      <c r="CW442" s="126">
        <f t="shared" si="558"/>
        <v>7</v>
      </c>
      <c r="CX442" s="126">
        <f t="shared" si="558"/>
        <v>863425.05816000002</v>
      </c>
    </row>
    <row r="443" spans="1:102" ht="45" customHeight="1" x14ac:dyDescent="0.25">
      <c r="A443" s="91"/>
      <c r="B443" s="116">
        <v>366</v>
      </c>
      <c r="C443" s="117" t="s">
        <v>1004</v>
      </c>
      <c r="D443" s="161" t="s">
        <v>1005</v>
      </c>
      <c r="E443" s="95">
        <v>28004</v>
      </c>
      <c r="F443" s="96">
        <v>29405</v>
      </c>
      <c r="G443" s="119">
        <v>0.76</v>
      </c>
      <c r="H443" s="107">
        <v>1</v>
      </c>
      <c r="I443" s="108"/>
      <c r="J443" s="108"/>
      <c r="K443" s="108"/>
      <c r="L443" s="63"/>
      <c r="M443" s="120">
        <v>1.4</v>
      </c>
      <c r="N443" s="120">
        <v>1.68</v>
      </c>
      <c r="O443" s="120">
        <v>2.23</v>
      </c>
      <c r="P443" s="121">
        <v>2.57</v>
      </c>
      <c r="Q443" s="285">
        <v>7</v>
      </c>
      <c r="R443" s="123">
        <f t="shared" si="559"/>
        <v>238996.26520000002</v>
      </c>
      <c r="S443" s="124"/>
      <c r="T443" s="125">
        <f t="shared" si="560"/>
        <v>0</v>
      </c>
      <c r="U443" s="123">
        <v>1</v>
      </c>
      <c r="V443" s="123">
        <f>(U443/12*2*$E443*$G443*$H443*$M443*$V$11)+(U443/12*10*$F443*$G443*$H443*$M443*$V$12)</f>
        <v>41628.796066666655</v>
      </c>
      <c r="W443" s="123"/>
      <c r="X443" s="126">
        <f t="shared" si="562"/>
        <v>0</v>
      </c>
      <c r="Y443" s="123"/>
      <c r="Z443" s="123">
        <f t="shared" si="563"/>
        <v>0</v>
      </c>
      <c r="AA443" s="123"/>
      <c r="AB443" s="123">
        <f t="shared" si="564"/>
        <v>0</v>
      </c>
      <c r="AC443" s="123"/>
      <c r="AD443" s="123"/>
      <c r="AE443" s="123"/>
      <c r="AF443" s="123">
        <f t="shared" si="565"/>
        <v>0</v>
      </c>
      <c r="AG443" s="123">
        <v>0</v>
      </c>
      <c r="AH443" s="126">
        <f t="shared" si="566"/>
        <v>0</v>
      </c>
      <c r="AI443" s="123"/>
      <c r="AJ443" s="123">
        <f t="shared" si="567"/>
        <v>0</v>
      </c>
      <c r="AK443" s="123"/>
      <c r="AL443" s="123">
        <f t="shared" si="568"/>
        <v>0</v>
      </c>
      <c r="AM443" s="132"/>
      <c r="AN443" s="123">
        <f t="shared" si="569"/>
        <v>0</v>
      </c>
      <c r="AO443" s="130"/>
      <c r="AP443" s="127">
        <f t="shared" si="570"/>
        <v>0</v>
      </c>
      <c r="AQ443" s="127">
        <v>0</v>
      </c>
      <c r="AR443" s="127">
        <v>0</v>
      </c>
      <c r="AS443" s="123"/>
      <c r="AT443" s="123">
        <f t="shared" si="571"/>
        <v>0</v>
      </c>
      <c r="AU443" s="123"/>
      <c r="AV443" s="126">
        <f t="shared" si="572"/>
        <v>0</v>
      </c>
      <c r="AW443" s="123"/>
      <c r="AX443" s="123">
        <f t="shared" si="573"/>
        <v>0</v>
      </c>
      <c r="AY443" s="123"/>
      <c r="AZ443" s="123">
        <f t="shared" si="574"/>
        <v>0</v>
      </c>
      <c r="BA443" s="123"/>
      <c r="BB443" s="123">
        <f t="shared" si="575"/>
        <v>0</v>
      </c>
      <c r="BC443" s="123"/>
      <c r="BD443" s="126">
        <f t="shared" si="576"/>
        <v>0</v>
      </c>
      <c r="BE443" s="123"/>
      <c r="BF443" s="123">
        <f t="shared" si="577"/>
        <v>0</v>
      </c>
      <c r="BG443" s="123"/>
      <c r="BH443" s="123">
        <f t="shared" si="578"/>
        <v>0</v>
      </c>
      <c r="BI443" s="123">
        <v>2</v>
      </c>
      <c r="BJ443" s="126">
        <f t="shared" si="579"/>
        <v>89390.810879999975</v>
      </c>
      <c r="BK443" s="123"/>
      <c r="BL443" s="127">
        <f t="shared" si="580"/>
        <v>0</v>
      </c>
      <c r="BM443" s="123"/>
      <c r="BN443" s="123">
        <f t="shared" si="581"/>
        <v>0</v>
      </c>
      <c r="BO443" s="123"/>
      <c r="BP443" s="123">
        <f t="shared" si="582"/>
        <v>0</v>
      </c>
      <c r="BQ443" s="123"/>
      <c r="BR443" s="123">
        <f t="shared" si="583"/>
        <v>0</v>
      </c>
      <c r="BS443" s="123"/>
      <c r="BT443" s="123">
        <f t="shared" si="584"/>
        <v>0</v>
      </c>
      <c r="BU443" s="123"/>
      <c r="BV443" s="126">
        <f t="shared" si="585"/>
        <v>0</v>
      </c>
      <c r="BW443" s="123"/>
      <c r="BX443" s="123">
        <f t="shared" si="586"/>
        <v>0</v>
      </c>
      <c r="BY443" s="123"/>
      <c r="BZ443" s="123">
        <f t="shared" si="587"/>
        <v>0</v>
      </c>
      <c r="CA443" s="123"/>
      <c r="CB443" s="123">
        <f t="shared" si="588"/>
        <v>0</v>
      </c>
      <c r="CC443" s="123"/>
      <c r="CD443" s="123">
        <f t="shared" si="589"/>
        <v>0</v>
      </c>
      <c r="CE443" s="123"/>
      <c r="CF443" s="123">
        <f t="shared" si="590"/>
        <v>0</v>
      </c>
      <c r="CG443" s="132"/>
      <c r="CH443" s="123">
        <f t="shared" si="591"/>
        <v>0</v>
      </c>
      <c r="CI443" s="123"/>
      <c r="CJ443" s="127"/>
      <c r="CK443" s="123"/>
      <c r="CL443" s="123">
        <f t="shared" si="592"/>
        <v>0</v>
      </c>
      <c r="CM443" s="130"/>
      <c r="CN443" s="123">
        <f t="shared" si="593"/>
        <v>0</v>
      </c>
      <c r="CO443" s="123">
        <v>0</v>
      </c>
      <c r="CP443" s="123">
        <v>0</v>
      </c>
      <c r="CQ443" s="123"/>
      <c r="CR443" s="123">
        <f t="shared" si="594"/>
        <v>0</v>
      </c>
      <c r="CS443" s="123"/>
      <c r="CT443" s="133">
        <f t="shared" si="595"/>
        <v>0</v>
      </c>
      <c r="CU443" s="127"/>
      <c r="CV443" s="123">
        <f t="shared" si="596"/>
        <v>0</v>
      </c>
      <c r="CW443" s="126">
        <f t="shared" si="558"/>
        <v>10</v>
      </c>
      <c r="CX443" s="126">
        <f t="shared" si="558"/>
        <v>370015.87214666663</v>
      </c>
    </row>
    <row r="444" spans="1:102" ht="15.75" customHeight="1" x14ac:dyDescent="0.25">
      <c r="A444" s="91"/>
      <c r="B444" s="116">
        <v>367</v>
      </c>
      <c r="C444" s="117" t="s">
        <v>1006</v>
      </c>
      <c r="D444" s="161" t="s">
        <v>1007</v>
      </c>
      <c r="E444" s="95">
        <v>28004</v>
      </c>
      <c r="F444" s="96">
        <v>29405</v>
      </c>
      <c r="G444" s="119">
        <v>1.06</v>
      </c>
      <c r="H444" s="107">
        <v>1</v>
      </c>
      <c r="I444" s="108"/>
      <c r="J444" s="108"/>
      <c r="K444" s="108"/>
      <c r="L444" s="63"/>
      <c r="M444" s="120">
        <v>1.4</v>
      </c>
      <c r="N444" s="120">
        <v>1.68</v>
      </c>
      <c r="O444" s="120">
        <v>2.23</v>
      </c>
      <c r="P444" s="121">
        <v>2.57</v>
      </c>
      <c r="Q444" s="239">
        <v>16</v>
      </c>
      <c r="R444" s="123">
        <f t="shared" si="559"/>
        <v>761912.90559999994</v>
      </c>
      <c r="S444" s="124">
        <v>1</v>
      </c>
      <c r="T444" s="125">
        <f t="shared" si="560"/>
        <v>47619.556599999996</v>
      </c>
      <c r="U444" s="123">
        <v>49</v>
      </c>
      <c r="V444" s="123">
        <f t="shared" si="561"/>
        <v>2844999.5627666665</v>
      </c>
      <c r="W444" s="123"/>
      <c r="X444" s="126">
        <f t="shared" si="562"/>
        <v>0</v>
      </c>
      <c r="Y444" s="123"/>
      <c r="Z444" s="123">
        <f t="shared" si="563"/>
        <v>0</v>
      </c>
      <c r="AA444" s="123"/>
      <c r="AB444" s="123">
        <f t="shared" si="564"/>
        <v>0</v>
      </c>
      <c r="AC444" s="123"/>
      <c r="AD444" s="123"/>
      <c r="AE444" s="123"/>
      <c r="AF444" s="127">
        <f t="shared" si="565"/>
        <v>0</v>
      </c>
      <c r="AG444" s="123">
        <v>5</v>
      </c>
      <c r="AH444" s="126">
        <f t="shared" si="566"/>
        <v>238097.783</v>
      </c>
      <c r="AI444" s="130">
        <v>30</v>
      </c>
      <c r="AJ444" s="123">
        <f t="shared" si="567"/>
        <v>1677420.4790000003</v>
      </c>
      <c r="AK444" s="123">
        <v>1</v>
      </c>
      <c r="AL444" s="123">
        <f t="shared" si="568"/>
        <v>67096.819159999999</v>
      </c>
      <c r="AM444" s="132"/>
      <c r="AN444" s="123">
        <f t="shared" si="569"/>
        <v>0</v>
      </c>
      <c r="AO444" s="130"/>
      <c r="AP444" s="127">
        <f t="shared" si="570"/>
        <v>0</v>
      </c>
      <c r="AQ444" s="127">
        <v>0</v>
      </c>
      <c r="AR444" s="127">
        <v>0</v>
      </c>
      <c r="AS444" s="123"/>
      <c r="AT444" s="123">
        <f t="shared" si="571"/>
        <v>0</v>
      </c>
      <c r="AU444" s="123"/>
      <c r="AV444" s="126">
        <f t="shared" si="572"/>
        <v>0</v>
      </c>
      <c r="AW444" s="123"/>
      <c r="AX444" s="123">
        <f t="shared" si="573"/>
        <v>0</v>
      </c>
      <c r="AY444" s="131"/>
      <c r="AZ444" s="123">
        <f t="shared" si="574"/>
        <v>0</v>
      </c>
      <c r="BA444" s="123">
        <v>16</v>
      </c>
      <c r="BB444" s="123">
        <f>(BA444/12*2*$E444*$G444*$H444*$N444*$BB$11)+(BA444/12*10*$F444*$G444*$H444*$N444*$BB$12)</f>
        <v>803250.0223999999</v>
      </c>
      <c r="BC444" s="123"/>
      <c r="BD444" s="126">
        <f t="shared" si="576"/>
        <v>0</v>
      </c>
      <c r="BE444" s="123"/>
      <c r="BF444" s="123">
        <f t="shared" si="577"/>
        <v>0</v>
      </c>
      <c r="BG444" s="123">
        <v>1</v>
      </c>
      <c r="BH444" s="123">
        <f t="shared" si="578"/>
        <v>46753.746480000002</v>
      </c>
      <c r="BI444" s="123">
        <v>2</v>
      </c>
      <c r="BJ444" s="126">
        <f t="shared" si="579"/>
        <v>124676.65727999998</v>
      </c>
      <c r="BK444" s="123">
        <v>50</v>
      </c>
      <c r="BL444" s="127">
        <f t="shared" si="580"/>
        <v>3116916.4319999996</v>
      </c>
      <c r="BM444" s="123"/>
      <c r="BN444" s="123">
        <f t="shared" si="581"/>
        <v>0</v>
      </c>
      <c r="BO444" s="123">
        <v>31</v>
      </c>
      <c r="BP444" s="123">
        <f t="shared" si="582"/>
        <v>1229276.7176666667</v>
      </c>
      <c r="BQ444" s="123"/>
      <c r="BR444" s="123">
        <f t="shared" si="583"/>
        <v>0</v>
      </c>
      <c r="BS444" s="123">
        <v>2</v>
      </c>
      <c r="BT444" s="123">
        <f t="shared" si="584"/>
        <v>103897.2144</v>
      </c>
      <c r="BU444" s="123"/>
      <c r="BV444" s="126">
        <f t="shared" si="585"/>
        <v>0</v>
      </c>
      <c r="BW444" s="123"/>
      <c r="BX444" s="123">
        <f t="shared" si="586"/>
        <v>0</v>
      </c>
      <c r="BY444" s="123"/>
      <c r="BZ444" s="123">
        <f t="shared" si="587"/>
        <v>0</v>
      </c>
      <c r="CA444" s="123"/>
      <c r="CB444" s="123">
        <f t="shared" si="588"/>
        <v>0</v>
      </c>
      <c r="CC444" s="123">
        <v>1</v>
      </c>
      <c r="CD444" s="123">
        <f t="shared" si="589"/>
        <v>43290.505999999994</v>
      </c>
      <c r="CE444" s="123"/>
      <c r="CF444" s="123">
        <f t="shared" si="590"/>
        <v>0</v>
      </c>
      <c r="CG444" s="132"/>
      <c r="CH444" s="123">
        <f t="shared" si="591"/>
        <v>0</v>
      </c>
      <c r="CI444" s="123"/>
      <c r="CJ444" s="127"/>
      <c r="CK444" s="123"/>
      <c r="CL444" s="123">
        <f t="shared" si="592"/>
        <v>0</v>
      </c>
      <c r="CM444" s="130"/>
      <c r="CN444" s="123">
        <f t="shared" si="593"/>
        <v>0</v>
      </c>
      <c r="CO444" s="123">
        <v>5</v>
      </c>
      <c r="CP444" s="123">
        <v>52364.42</v>
      </c>
      <c r="CQ444" s="123"/>
      <c r="CR444" s="123">
        <f t="shared" si="594"/>
        <v>0</v>
      </c>
      <c r="CS444" s="123">
        <v>5</v>
      </c>
      <c r="CT444" s="133">
        <f t="shared" si="595"/>
        <v>397345.00150000001</v>
      </c>
      <c r="CU444" s="127"/>
      <c r="CV444" s="123">
        <f t="shared" si="596"/>
        <v>0</v>
      </c>
      <c r="CW444" s="126">
        <f t="shared" si="558"/>
        <v>215</v>
      </c>
      <c r="CX444" s="126">
        <f t="shared" si="558"/>
        <v>11554917.823853333</v>
      </c>
    </row>
    <row r="445" spans="1:102" x14ac:dyDescent="0.25">
      <c r="A445" s="91"/>
      <c r="B445" s="116">
        <v>368</v>
      </c>
      <c r="C445" s="117" t="s">
        <v>1008</v>
      </c>
      <c r="D445" s="161" t="s">
        <v>1009</v>
      </c>
      <c r="E445" s="95">
        <v>28004</v>
      </c>
      <c r="F445" s="96">
        <v>29405</v>
      </c>
      <c r="G445" s="119">
        <v>1.1599999999999999</v>
      </c>
      <c r="H445" s="107">
        <v>1</v>
      </c>
      <c r="I445" s="108"/>
      <c r="J445" s="108"/>
      <c r="K445" s="108"/>
      <c r="L445" s="63"/>
      <c r="M445" s="120">
        <v>1.4</v>
      </c>
      <c r="N445" s="120">
        <v>1.68</v>
      </c>
      <c r="O445" s="120">
        <v>2.23</v>
      </c>
      <c r="P445" s="121">
        <v>2.57</v>
      </c>
      <c r="Q445" s="239">
        <v>2</v>
      </c>
      <c r="R445" s="123">
        <f t="shared" si="559"/>
        <v>104223.93519999998</v>
      </c>
      <c r="S445" s="124">
        <v>20</v>
      </c>
      <c r="T445" s="125">
        <f t="shared" si="560"/>
        <v>1042239.3520000001</v>
      </c>
      <c r="U445" s="123">
        <v>40</v>
      </c>
      <c r="V445" s="123">
        <f t="shared" si="561"/>
        <v>2541547.549333333</v>
      </c>
      <c r="W445" s="123"/>
      <c r="X445" s="126">
        <f t="shared" si="562"/>
        <v>0</v>
      </c>
      <c r="Y445" s="123"/>
      <c r="Z445" s="123">
        <f t="shared" si="563"/>
        <v>0</v>
      </c>
      <c r="AA445" s="123"/>
      <c r="AB445" s="123">
        <f t="shared" si="564"/>
        <v>0</v>
      </c>
      <c r="AC445" s="123"/>
      <c r="AD445" s="123"/>
      <c r="AE445" s="123"/>
      <c r="AF445" s="123">
        <f t="shared" si="565"/>
        <v>0</v>
      </c>
      <c r="AG445" s="135">
        <v>0</v>
      </c>
      <c r="AH445" s="136">
        <f t="shared" si="566"/>
        <v>0</v>
      </c>
      <c r="AI445" s="123"/>
      <c r="AJ445" s="123">
        <f t="shared" si="567"/>
        <v>0</v>
      </c>
      <c r="AK445" s="123">
        <v>3</v>
      </c>
      <c r="AL445" s="123">
        <f t="shared" si="568"/>
        <v>220280.12328</v>
      </c>
      <c r="AM445" s="132"/>
      <c r="AN445" s="123">
        <f t="shared" si="569"/>
        <v>0</v>
      </c>
      <c r="AO445" s="130"/>
      <c r="AP445" s="127">
        <f t="shared" si="570"/>
        <v>0</v>
      </c>
      <c r="AQ445" s="127">
        <v>0</v>
      </c>
      <c r="AR445" s="127">
        <v>0</v>
      </c>
      <c r="AS445" s="123"/>
      <c r="AT445" s="123">
        <f t="shared" si="571"/>
        <v>0</v>
      </c>
      <c r="AU445" s="123"/>
      <c r="AV445" s="126">
        <f t="shared" si="572"/>
        <v>0</v>
      </c>
      <c r="AW445" s="123"/>
      <c r="AX445" s="123">
        <f t="shared" si="573"/>
        <v>0</v>
      </c>
      <c r="AY445" s="131"/>
      <c r="AZ445" s="123">
        <f t="shared" si="574"/>
        <v>0</v>
      </c>
      <c r="BA445" s="123"/>
      <c r="BB445" s="123">
        <f t="shared" si="575"/>
        <v>0</v>
      </c>
      <c r="BC445" s="123"/>
      <c r="BD445" s="126">
        <f t="shared" si="576"/>
        <v>0</v>
      </c>
      <c r="BE445" s="123"/>
      <c r="BF445" s="123">
        <f t="shared" si="577"/>
        <v>0</v>
      </c>
      <c r="BG445" s="123"/>
      <c r="BH445" s="123">
        <f t="shared" si="578"/>
        <v>0</v>
      </c>
      <c r="BI445" s="123"/>
      <c r="BJ445" s="126">
        <f t="shared" si="579"/>
        <v>0</v>
      </c>
      <c r="BK445" s="123">
        <v>3</v>
      </c>
      <c r="BL445" s="127">
        <f t="shared" si="580"/>
        <v>204657.90912</v>
      </c>
      <c r="BM445" s="123"/>
      <c r="BN445" s="123">
        <f t="shared" si="581"/>
        <v>0</v>
      </c>
      <c r="BO445" s="123"/>
      <c r="BP445" s="123">
        <f t="shared" si="582"/>
        <v>0</v>
      </c>
      <c r="BQ445" s="123"/>
      <c r="BR445" s="123">
        <f t="shared" si="583"/>
        <v>0</v>
      </c>
      <c r="BS445" s="123">
        <v>2</v>
      </c>
      <c r="BT445" s="123">
        <f t="shared" si="584"/>
        <v>113698.83839999996</v>
      </c>
      <c r="BU445" s="123"/>
      <c r="BV445" s="126">
        <f t="shared" si="585"/>
        <v>0</v>
      </c>
      <c r="BW445" s="123"/>
      <c r="BX445" s="123">
        <f t="shared" si="586"/>
        <v>0</v>
      </c>
      <c r="BY445" s="123"/>
      <c r="BZ445" s="123">
        <f t="shared" si="587"/>
        <v>0</v>
      </c>
      <c r="CA445" s="123"/>
      <c r="CB445" s="123">
        <f t="shared" si="588"/>
        <v>0</v>
      </c>
      <c r="CC445" s="123"/>
      <c r="CD445" s="123">
        <f t="shared" si="589"/>
        <v>0</v>
      </c>
      <c r="CE445" s="123"/>
      <c r="CF445" s="123">
        <f t="shared" si="590"/>
        <v>0</v>
      </c>
      <c r="CG445" s="132"/>
      <c r="CH445" s="123">
        <f t="shared" si="591"/>
        <v>0</v>
      </c>
      <c r="CI445" s="123"/>
      <c r="CJ445" s="127"/>
      <c r="CK445" s="123"/>
      <c r="CL445" s="123">
        <f t="shared" si="592"/>
        <v>0</v>
      </c>
      <c r="CM445" s="130"/>
      <c r="CN445" s="123">
        <f t="shared" si="593"/>
        <v>0</v>
      </c>
      <c r="CO445" s="123"/>
      <c r="CP445" s="123">
        <f t="shared" ref="CP445:CP446" si="597">(CO445/12*2*$E445*$G445*$H445*$N445*$CP$11)+(CO445/12*10*$F445*$G445*$H445*$N445*$CP$11)</f>
        <v>0</v>
      </c>
      <c r="CQ445" s="123">
        <v>5</v>
      </c>
      <c r="CR445" s="123">
        <f t="shared" si="594"/>
        <v>377304.18099999998</v>
      </c>
      <c r="CS445" s="123"/>
      <c r="CT445" s="133">
        <f t="shared" si="595"/>
        <v>0</v>
      </c>
      <c r="CU445" s="127"/>
      <c r="CV445" s="123">
        <f t="shared" si="596"/>
        <v>0</v>
      </c>
      <c r="CW445" s="126">
        <f t="shared" si="558"/>
        <v>75</v>
      </c>
      <c r="CX445" s="126">
        <f t="shared" si="558"/>
        <v>4603951.8883333327</v>
      </c>
    </row>
    <row r="446" spans="1:102" ht="22.5" customHeight="1" x14ac:dyDescent="0.25">
      <c r="A446" s="91"/>
      <c r="B446" s="116">
        <v>369</v>
      </c>
      <c r="C446" s="117" t="s">
        <v>1010</v>
      </c>
      <c r="D446" s="161" t="s">
        <v>1011</v>
      </c>
      <c r="E446" s="95">
        <v>28004</v>
      </c>
      <c r="F446" s="96">
        <v>29405</v>
      </c>
      <c r="G446" s="152">
        <v>3.32</v>
      </c>
      <c r="H446" s="107">
        <v>1</v>
      </c>
      <c r="I446" s="108"/>
      <c r="J446" s="108"/>
      <c r="K446" s="108"/>
      <c r="L446" s="63"/>
      <c r="M446" s="120">
        <v>1.4</v>
      </c>
      <c r="N446" s="120">
        <v>1.68</v>
      </c>
      <c r="O446" s="120">
        <v>2.23</v>
      </c>
      <c r="P446" s="121">
        <v>2.57</v>
      </c>
      <c r="Q446" s="239">
        <v>3</v>
      </c>
      <c r="R446" s="123">
        <f t="shared" si="559"/>
        <v>447444.13560000004</v>
      </c>
      <c r="S446" s="124"/>
      <c r="T446" s="125">
        <f t="shared" si="560"/>
        <v>0</v>
      </c>
      <c r="U446" s="123">
        <v>20</v>
      </c>
      <c r="V446" s="123">
        <f t="shared" si="561"/>
        <v>3637042.1826666673</v>
      </c>
      <c r="W446" s="123"/>
      <c r="X446" s="126">
        <f t="shared" si="562"/>
        <v>0</v>
      </c>
      <c r="Y446" s="123"/>
      <c r="Z446" s="123">
        <f t="shared" si="563"/>
        <v>0</v>
      </c>
      <c r="AA446" s="123"/>
      <c r="AB446" s="123">
        <f t="shared" si="564"/>
        <v>0</v>
      </c>
      <c r="AC446" s="123"/>
      <c r="AD446" s="123"/>
      <c r="AE446" s="123"/>
      <c r="AF446" s="123">
        <f t="shared" si="565"/>
        <v>0</v>
      </c>
      <c r="AG446" s="123">
        <v>0</v>
      </c>
      <c r="AH446" s="126">
        <f t="shared" si="566"/>
        <v>0</v>
      </c>
      <c r="AI446" s="123"/>
      <c r="AJ446" s="123">
        <f t="shared" si="567"/>
        <v>0</v>
      </c>
      <c r="AK446" s="123"/>
      <c r="AL446" s="123">
        <f t="shared" si="568"/>
        <v>0</v>
      </c>
      <c r="AM446" s="132"/>
      <c r="AN446" s="123">
        <f t="shared" si="569"/>
        <v>0</v>
      </c>
      <c r="AO446" s="130"/>
      <c r="AP446" s="127">
        <f t="shared" si="570"/>
        <v>0</v>
      </c>
      <c r="AQ446" s="127">
        <v>0</v>
      </c>
      <c r="AR446" s="127">
        <v>0</v>
      </c>
      <c r="AS446" s="123"/>
      <c r="AT446" s="123">
        <f t="shared" si="571"/>
        <v>0</v>
      </c>
      <c r="AU446" s="123"/>
      <c r="AV446" s="126">
        <f t="shared" si="572"/>
        <v>0</v>
      </c>
      <c r="AW446" s="123"/>
      <c r="AX446" s="123">
        <f t="shared" si="573"/>
        <v>0</v>
      </c>
      <c r="AY446" s="131"/>
      <c r="AZ446" s="123">
        <f t="shared" si="574"/>
        <v>0</v>
      </c>
      <c r="BA446" s="123">
        <v>1</v>
      </c>
      <c r="BB446" s="123">
        <f>(BA446/12*2*$E446*$G446*$H446*$N446*$BB$11)+(BA446/12*10*$F446*$G446*$H446*$N446*$BB$12)</f>
        <v>157239.98079999996</v>
      </c>
      <c r="BC446" s="123"/>
      <c r="BD446" s="126">
        <f t="shared" si="576"/>
        <v>0</v>
      </c>
      <c r="BE446" s="123"/>
      <c r="BF446" s="123">
        <f t="shared" si="577"/>
        <v>0</v>
      </c>
      <c r="BG446" s="123"/>
      <c r="BH446" s="123">
        <f t="shared" si="578"/>
        <v>0</v>
      </c>
      <c r="BI446" s="123">
        <v>2</v>
      </c>
      <c r="BJ446" s="126">
        <f t="shared" si="579"/>
        <v>390496.70015999989</v>
      </c>
      <c r="BK446" s="123"/>
      <c r="BL446" s="127">
        <f t="shared" si="580"/>
        <v>0</v>
      </c>
      <c r="BM446" s="123"/>
      <c r="BN446" s="123">
        <f t="shared" si="581"/>
        <v>0</v>
      </c>
      <c r="BO446" s="123"/>
      <c r="BP446" s="123">
        <f t="shared" si="582"/>
        <v>0</v>
      </c>
      <c r="BQ446" s="123"/>
      <c r="BR446" s="123">
        <f t="shared" si="583"/>
        <v>0</v>
      </c>
      <c r="BS446" s="123"/>
      <c r="BT446" s="123">
        <f t="shared" si="584"/>
        <v>0</v>
      </c>
      <c r="BU446" s="123"/>
      <c r="BV446" s="126">
        <f t="shared" si="585"/>
        <v>0</v>
      </c>
      <c r="BW446" s="123"/>
      <c r="BX446" s="123">
        <f t="shared" si="586"/>
        <v>0</v>
      </c>
      <c r="BY446" s="123"/>
      <c r="BZ446" s="123">
        <f t="shared" si="587"/>
        <v>0</v>
      </c>
      <c r="CA446" s="123"/>
      <c r="CB446" s="123">
        <f t="shared" si="588"/>
        <v>0</v>
      </c>
      <c r="CC446" s="123"/>
      <c r="CD446" s="123">
        <f t="shared" si="589"/>
        <v>0</v>
      </c>
      <c r="CE446" s="123"/>
      <c r="CF446" s="123">
        <f t="shared" si="590"/>
        <v>0</v>
      </c>
      <c r="CG446" s="132"/>
      <c r="CH446" s="123">
        <f t="shared" si="591"/>
        <v>0</v>
      </c>
      <c r="CI446" s="123"/>
      <c r="CJ446" s="127"/>
      <c r="CK446" s="123"/>
      <c r="CL446" s="123">
        <f t="shared" si="592"/>
        <v>0</v>
      </c>
      <c r="CM446" s="130"/>
      <c r="CN446" s="123">
        <f t="shared" si="593"/>
        <v>0</v>
      </c>
      <c r="CO446" s="123"/>
      <c r="CP446" s="123">
        <f t="shared" si="597"/>
        <v>0</v>
      </c>
      <c r="CQ446" s="123"/>
      <c r="CR446" s="123">
        <f t="shared" si="594"/>
        <v>0</v>
      </c>
      <c r="CS446" s="123"/>
      <c r="CT446" s="133">
        <f t="shared" si="595"/>
        <v>0</v>
      </c>
      <c r="CU446" s="127"/>
      <c r="CV446" s="123">
        <f t="shared" si="596"/>
        <v>0</v>
      </c>
      <c r="CW446" s="126">
        <f t="shared" si="558"/>
        <v>26</v>
      </c>
      <c r="CX446" s="126">
        <f t="shared" si="558"/>
        <v>4632222.999226667</v>
      </c>
    </row>
    <row r="447" spans="1:102" ht="13.5" customHeight="1" x14ac:dyDescent="0.25">
      <c r="A447" s="109">
        <v>36</v>
      </c>
      <c r="B447" s="150"/>
      <c r="C447" s="93" t="s">
        <v>1012</v>
      </c>
      <c r="D447" s="164" t="s">
        <v>1013</v>
      </c>
      <c r="E447" s="95">
        <v>28004</v>
      </c>
      <c r="F447" s="96">
        <v>29405</v>
      </c>
      <c r="G447" s="240"/>
      <c r="H447" s="110"/>
      <c r="I447" s="108"/>
      <c r="J447" s="108"/>
      <c r="K447" s="108"/>
      <c r="L447" s="111"/>
      <c r="M447" s="112">
        <v>1.4</v>
      </c>
      <c r="N447" s="112">
        <v>1.68</v>
      </c>
      <c r="O447" s="112">
        <v>2.23</v>
      </c>
      <c r="P447" s="113">
        <v>2.57</v>
      </c>
      <c r="Q447" s="103">
        <f>SUM(Q448:Q489)</f>
        <v>685</v>
      </c>
      <c r="R447" s="104">
        <f>SUM(R448:R489)</f>
        <v>54220132.898957483</v>
      </c>
      <c r="S447" s="114">
        <f t="shared" ref="S447:T447" si="598">SUM(S448:S489)</f>
        <v>311</v>
      </c>
      <c r="T447" s="115">
        <f t="shared" si="598"/>
        <v>46203011.510750003</v>
      </c>
      <c r="U447" s="104">
        <f>SUM(U448:U489)</f>
        <v>319</v>
      </c>
      <c r="V447" s="104">
        <f t="shared" ref="V447:CG447" si="599">SUM(V448:V489)</f>
        <v>48959234.898796462</v>
      </c>
      <c r="W447" s="104">
        <f t="shared" si="599"/>
        <v>69</v>
      </c>
      <c r="X447" s="104">
        <f t="shared" si="599"/>
        <v>3491908.4722083332</v>
      </c>
      <c r="Y447" s="104">
        <f t="shared" si="599"/>
        <v>120</v>
      </c>
      <c r="Z447" s="104">
        <f t="shared" si="599"/>
        <v>4649787.8944378663</v>
      </c>
      <c r="AA447" s="104">
        <f t="shared" si="599"/>
        <v>496</v>
      </c>
      <c r="AB447" s="104">
        <f t="shared" si="599"/>
        <v>40770029.243068203</v>
      </c>
      <c r="AC447" s="104">
        <f t="shared" si="599"/>
        <v>0</v>
      </c>
      <c r="AD447" s="104">
        <f t="shared" si="599"/>
        <v>0</v>
      </c>
      <c r="AE447" s="104">
        <f t="shared" si="599"/>
        <v>93</v>
      </c>
      <c r="AF447" s="105">
        <f t="shared" si="599"/>
        <v>8701694.8382863328</v>
      </c>
      <c r="AG447" s="104">
        <f t="shared" si="599"/>
        <v>145</v>
      </c>
      <c r="AH447" s="104">
        <f t="shared" si="599"/>
        <v>3216566.2759999996</v>
      </c>
      <c r="AI447" s="106">
        <f t="shared" si="599"/>
        <v>218</v>
      </c>
      <c r="AJ447" s="104">
        <f t="shared" si="599"/>
        <v>5740153.9787666658</v>
      </c>
      <c r="AK447" s="104">
        <f t="shared" si="599"/>
        <v>110</v>
      </c>
      <c r="AL447" s="104">
        <f t="shared" si="599"/>
        <v>8329547.5302200001</v>
      </c>
      <c r="AM447" s="104">
        <f t="shared" si="599"/>
        <v>52</v>
      </c>
      <c r="AN447" s="104">
        <f t="shared" si="599"/>
        <v>1708971.6279999998</v>
      </c>
      <c r="AO447" s="106">
        <f t="shared" si="599"/>
        <v>3</v>
      </c>
      <c r="AP447" s="104">
        <f t="shared" si="599"/>
        <v>416276.89710880001</v>
      </c>
      <c r="AQ447" s="104">
        <v>1</v>
      </c>
      <c r="AR447" s="104">
        <v>13585.11</v>
      </c>
      <c r="AS447" s="104">
        <f t="shared" si="599"/>
        <v>0</v>
      </c>
      <c r="AT447" s="104">
        <f t="shared" si="599"/>
        <v>0</v>
      </c>
      <c r="AU447" s="104">
        <f t="shared" si="599"/>
        <v>0</v>
      </c>
      <c r="AV447" s="104">
        <f t="shared" si="599"/>
        <v>0</v>
      </c>
      <c r="AW447" s="104">
        <f t="shared" si="599"/>
        <v>0</v>
      </c>
      <c r="AX447" s="104">
        <f t="shared" si="599"/>
        <v>0</v>
      </c>
      <c r="AY447" s="104">
        <f t="shared" si="599"/>
        <v>54</v>
      </c>
      <c r="AZ447" s="104">
        <f t="shared" si="599"/>
        <v>2669947.3647000003</v>
      </c>
      <c r="BA447" s="104">
        <f t="shared" si="599"/>
        <v>14</v>
      </c>
      <c r="BB447" s="104">
        <f t="shared" si="599"/>
        <v>4547450.8800000008</v>
      </c>
      <c r="BC447" s="104">
        <f t="shared" si="599"/>
        <v>97</v>
      </c>
      <c r="BD447" s="104">
        <f t="shared" si="599"/>
        <v>2297029.8400000003</v>
      </c>
      <c r="BE447" s="104">
        <f t="shared" si="599"/>
        <v>0</v>
      </c>
      <c r="BF447" s="104">
        <f t="shared" si="599"/>
        <v>0</v>
      </c>
      <c r="BG447" s="104">
        <f t="shared" si="599"/>
        <v>2</v>
      </c>
      <c r="BH447" s="104">
        <f t="shared" si="599"/>
        <v>28228.67712</v>
      </c>
      <c r="BI447" s="104">
        <f t="shared" si="599"/>
        <v>12</v>
      </c>
      <c r="BJ447" s="104">
        <f t="shared" si="599"/>
        <v>1277876.8144799999</v>
      </c>
      <c r="BK447" s="104">
        <f t="shared" si="599"/>
        <v>63</v>
      </c>
      <c r="BL447" s="104">
        <f t="shared" si="599"/>
        <v>1817750.2643999998</v>
      </c>
      <c r="BM447" s="104">
        <f t="shared" si="599"/>
        <v>74</v>
      </c>
      <c r="BN447" s="104">
        <f t="shared" si="599"/>
        <v>2815885.8752015997</v>
      </c>
      <c r="BO447" s="104">
        <f t="shared" si="599"/>
        <v>228</v>
      </c>
      <c r="BP447" s="104">
        <f t="shared" si="599"/>
        <v>11565354.770182798</v>
      </c>
      <c r="BQ447" s="104">
        <f t="shared" si="599"/>
        <v>0</v>
      </c>
      <c r="BR447" s="104">
        <f t="shared" si="599"/>
        <v>0</v>
      </c>
      <c r="BS447" s="104">
        <f t="shared" si="599"/>
        <v>15</v>
      </c>
      <c r="BT447" s="104">
        <f t="shared" si="599"/>
        <v>367560.9</v>
      </c>
      <c r="BU447" s="104">
        <f t="shared" si="599"/>
        <v>0</v>
      </c>
      <c r="BV447" s="104">
        <f t="shared" si="599"/>
        <v>0</v>
      </c>
      <c r="BW447" s="104">
        <f t="shared" si="599"/>
        <v>0</v>
      </c>
      <c r="BX447" s="104">
        <f t="shared" si="599"/>
        <v>0</v>
      </c>
      <c r="BY447" s="104">
        <f t="shared" si="599"/>
        <v>0</v>
      </c>
      <c r="BZ447" s="104">
        <f t="shared" si="599"/>
        <v>0</v>
      </c>
      <c r="CA447" s="104">
        <f t="shared" si="599"/>
        <v>6</v>
      </c>
      <c r="CB447" s="104">
        <f t="shared" si="599"/>
        <v>260870.19139999995</v>
      </c>
      <c r="CC447" s="104">
        <f t="shared" si="599"/>
        <v>4</v>
      </c>
      <c r="CD447" s="104">
        <f t="shared" si="599"/>
        <v>161849.29016666667</v>
      </c>
      <c r="CE447" s="104">
        <f t="shared" si="599"/>
        <v>0</v>
      </c>
      <c r="CF447" s="104">
        <f t="shared" si="599"/>
        <v>0</v>
      </c>
      <c r="CG447" s="104">
        <f t="shared" si="599"/>
        <v>186</v>
      </c>
      <c r="CH447" s="104">
        <f t="shared" ref="CH447:CX447" si="600">SUM(CH448:CH489)</f>
        <v>13907421.852626882</v>
      </c>
      <c r="CI447" s="104">
        <f t="shared" si="600"/>
        <v>0</v>
      </c>
      <c r="CJ447" s="104">
        <f t="shared" si="600"/>
        <v>0</v>
      </c>
      <c r="CK447" s="104">
        <f t="shared" si="600"/>
        <v>0</v>
      </c>
      <c r="CL447" s="104">
        <f t="shared" si="600"/>
        <v>0</v>
      </c>
      <c r="CM447" s="104">
        <f t="shared" si="600"/>
        <v>0</v>
      </c>
      <c r="CN447" s="104">
        <f t="shared" si="600"/>
        <v>0</v>
      </c>
      <c r="CO447" s="104">
        <f t="shared" si="600"/>
        <v>30</v>
      </c>
      <c r="CP447" s="104">
        <f t="shared" si="600"/>
        <v>7527.48</v>
      </c>
      <c r="CQ447" s="104">
        <f t="shared" si="600"/>
        <v>0</v>
      </c>
      <c r="CR447" s="104">
        <f t="shared" si="600"/>
        <v>0</v>
      </c>
      <c r="CS447" s="104">
        <f t="shared" si="600"/>
        <v>10</v>
      </c>
      <c r="CT447" s="104">
        <f t="shared" si="600"/>
        <v>239906.41600000003</v>
      </c>
      <c r="CU447" s="104">
        <f t="shared" si="600"/>
        <v>0</v>
      </c>
      <c r="CV447" s="104">
        <f t="shared" si="600"/>
        <v>0</v>
      </c>
      <c r="CW447" s="104">
        <f t="shared" si="600"/>
        <v>3417</v>
      </c>
      <c r="CX447" s="104">
        <f t="shared" si="600"/>
        <v>268385561.79287809</v>
      </c>
    </row>
    <row r="448" spans="1:102" s="6" customFormat="1" ht="30" customHeight="1" x14ac:dyDescent="0.25">
      <c r="A448" s="91"/>
      <c r="B448" s="116">
        <v>370</v>
      </c>
      <c r="C448" s="117" t="s">
        <v>1014</v>
      </c>
      <c r="D448" s="161" t="s">
        <v>1015</v>
      </c>
      <c r="E448" s="95">
        <v>28004</v>
      </c>
      <c r="F448" s="96">
        <v>29405</v>
      </c>
      <c r="G448" s="119">
        <v>4.32</v>
      </c>
      <c r="H448" s="107">
        <v>1</v>
      </c>
      <c r="I448" s="108"/>
      <c r="J448" s="108"/>
      <c r="K448" s="108"/>
      <c r="L448" s="63"/>
      <c r="M448" s="120">
        <v>1.4</v>
      </c>
      <c r="N448" s="120">
        <v>1.68</v>
      </c>
      <c r="O448" s="120">
        <v>2.23</v>
      </c>
      <c r="P448" s="121">
        <v>2.57</v>
      </c>
      <c r="Q448" s="286">
        <v>4</v>
      </c>
      <c r="R448" s="123">
        <f>(Q448/12*2*$E448*$G448*$H448*$M448)+(Q448/12*10*$F448*$G448*$H448*$M448)</f>
        <v>705716.92799999996</v>
      </c>
      <c r="S448" s="124">
        <v>5</v>
      </c>
      <c r="T448" s="125">
        <f>(S448/12*2*$E448*$G448*$H448*$M448)+(S448/12*10*$F448*$G448*$H448*$M448)</f>
        <v>882146.16000000015</v>
      </c>
      <c r="U448" s="123">
        <v>1</v>
      </c>
      <c r="V448" s="123">
        <f>(U448/12*2*$E448*$G448*$H448*$M448)+(U448/12*10*$F448*$G448*$H448*$M448)</f>
        <v>176429.23199999999</v>
      </c>
      <c r="W448" s="123"/>
      <c r="X448" s="123">
        <f>(W448/12*2*$E448*$G448*$H448*$M448)+(W448/12*10*$F448*$G448*$H448*$M448)</f>
        <v>0</v>
      </c>
      <c r="Y448" s="123"/>
      <c r="Z448" s="123">
        <f>(Y448/12*2*$E448*$G448*$H448*$M448)+(Y448/12*10*$F448*$G448*$H448*$M448)</f>
        <v>0</v>
      </c>
      <c r="AA448" s="123"/>
      <c r="AB448" s="123">
        <f>(AA448/12*2*$E448*$G448*$H448*$M448)+(AA448/12*10*$F448*$G448*$H448*$M448)</f>
        <v>0</v>
      </c>
      <c r="AC448" s="123"/>
      <c r="AD448" s="123"/>
      <c r="AE448" s="123"/>
      <c r="AF448" s="123">
        <f>(AE448/12*2*$E448*$G448*$H448*$M448)+(AE448/12*10*$F448*$G448*$H448*$M448)</f>
        <v>0</v>
      </c>
      <c r="AG448" s="135">
        <v>0</v>
      </c>
      <c r="AH448" s="135">
        <f>(AG448/12*2*$E448*$G448*$H448*$M448)+(AG448/12*10*$F448*$G448*$H448*$M448)</f>
        <v>0</v>
      </c>
      <c r="AI448" s="123"/>
      <c r="AJ448" s="123">
        <f>(AI448/12*2*$E448*$G448*$H448*$M448)+(AI448/12*10*$F448*$G448*$H448*$M448)</f>
        <v>0</v>
      </c>
      <c r="AK448" s="123">
        <v>2</v>
      </c>
      <c r="AL448" s="126">
        <f>(AK448/12*2*$E448*$G448*$H448*$N448)+(AK448/12*10*$F448*$G448*$H448*$N448)</f>
        <v>423430.1568</v>
      </c>
      <c r="AM448" s="132"/>
      <c r="AN448" s="123">
        <f>(AM448/12*2*$E448*$G448*$H448*$N448)+(AM448/12*10*$F448*$G448*$H448*$N448)</f>
        <v>0</v>
      </c>
      <c r="AO448" s="130"/>
      <c r="AP448" s="123">
        <f>(AO448/12*2*$E448*$G448*$H448*$N448)+(AO448/12*10*$F448*$G448*$H448*$N448)</f>
        <v>0</v>
      </c>
      <c r="AQ448" s="123">
        <v>0</v>
      </c>
      <c r="AR448" s="123">
        <v>0</v>
      </c>
      <c r="AS448" s="123"/>
      <c r="AT448" s="123"/>
      <c r="AU448" s="123"/>
      <c r="AV448" s="123"/>
      <c r="AW448" s="123"/>
      <c r="AX448" s="123">
        <f>(AW448/12*2*$E448*$G448*$H448*$M448)+(AW448/12*10*$F448*$G448*$H448*$M448)</f>
        <v>0</v>
      </c>
      <c r="AY448" s="123">
        <v>0</v>
      </c>
      <c r="AZ448" s="123">
        <f>(AY448/12*2*$E448*$G448*$H448*$N448)+(AY448/12*10*$F448*$G448*$H448*$N448)</f>
        <v>0</v>
      </c>
      <c r="BA448" s="123"/>
      <c r="BB448" s="123">
        <f>(BA448/12*2*$E448*$G448*$H448*$N448)+(BA448/12*10*$F448*$G448*$H448*$N448)</f>
        <v>0</v>
      </c>
      <c r="BC448" s="123"/>
      <c r="BD448" s="123">
        <f>(BC448/12*2*$E448*$G448*$H448*$N448)+(BC448/12*10*$F448*$G448*$H448*$N448)</f>
        <v>0</v>
      </c>
      <c r="BE448" s="123"/>
      <c r="BF448" s="123">
        <f>(BE448/12*10*$F448*$G448*$H448*$N448)</f>
        <v>0</v>
      </c>
      <c r="BG448" s="123"/>
      <c r="BH448" s="123">
        <f>(BG448/12*2*$E448*$G448*$H448*$N448)+(BG448/12*10*$F448*$G448*$H448*$N448)</f>
        <v>0</v>
      </c>
      <c r="BI448" s="123">
        <v>3</v>
      </c>
      <c r="BJ448" s="123">
        <f>(BI448/12*2*$E448*$G448*$H448*$N448)+(BI448/12*10*$F448*$G448*$H448*$N448)</f>
        <v>635145.2352</v>
      </c>
      <c r="BK448" s="123"/>
      <c r="BL448" s="123">
        <f>(BK448/12*2*$E448*$G448*$H448*$N448)+(BK448/12*10*$F448*$G448*$H448*$N448)</f>
        <v>0</v>
      </c>
      <c r="BM448" s="123"/>
      <c r="BN448" s="123">
        <f>(BM448/12*2*$E448*$G448*$H448*$M448)+(BM448/12*10*$F448*$G448*$H448*$M448)</f>
        <v>0</v>
      </c>
      <c r="BO448" s="123"/>
      <c r="BP448" s="123">
        <f>(BO448/12*2*$E448*$G448*$H448*$M448)+(BO448/12*10*$F448*$G448*$H448*$M448)</f>
        <v>0</v>
      </c>
      <c r="BQ448" s="123"/>
      <c r="BR448" s="123">
        <f>(BQ448/12*2*$E448*$G448*$H448*$M448)+(BQ448/12*10*$F448*$G448*$H448*$M448)</f>
        <v>0</v>
      </c>
      <c r="BS448" s="123"/>
      <c r="BT448" s="123">
        <f>(BS448/12*2*$E448*$G448*$H448*$N448)+(BS448/12*10*$F448*$G448*$H448*$N448)</f>
        <v>0</v>
      </c>
      <c r="BU448" s="123"/>
      <c r="BV448" s="123">
        <f>(BU448/12*2*$E448*$G448*$H448*$M448)+(BU448/12*10*$F448*$G448*$H448*$M448)</f>
        <v>0</v>
      </c>
      <c r="BW448" s="123"/>
      <c r="BX448" s="123">
        <f>(BW448/12*2*$E448*$G448*$H448*$M448)+(BW448/12*10*$F448*$G448*$H448*$M448)</f>
        <v>0</v>
      </c>
      <c r="BY448" s="123"/>
      <c r="BZ448" s="123">
        <f>(BY448/12*2*$E448*$G448*$H448*$M448)+(BY448/12*10*$F448*$G448*$H448*$M448)</f>
        <v>0</v>
      </c>
      <c r="CA448" s="123"/>
      <c r="CB448" s="123">
        <f>(CA448/12*2*$E448*$G448*$H448*$M448)+(CA448/12*10*$F448*$G448*$H448*$M448)</f>
        <v>0</v>
      </c>
      <c r="CC448" s="123"/>
      <c r="CD448" s="123">
        <f>(CC448/12*2*$E448*$G448*$H448*$M448)+(CC448/12*10*$F448*$G448*$H448*$M448)</f>
        <v>0</v>
      </c>
      <c r="CE448" s="123"/>
      <c r="CF448" s="123">
        <f>(CE448/12*10*$F448*$G448*$H448*$N448)</f>
        <v>0</v>
      </c>
      <c r="CG448" s="132"/>
      <c r="CH448" s="123">
        <f>(CG448/12*2*$E448*$G448*$H448*$N448)+(CG448/12*10*$F448*$G448*$H448*$N448)</f>
        <v>0</v>
      </c>
      <c r="CI448" s="123"/>
      <c r="CJ448" s="127">
        <f>(CI448*$E448*$G448*$H448*$N448)</f>
        <v>0</v>
      </c>
      <c r="CK448" s="123"/>
      <c r="CL448" s="123">
        <f>(CK448/12*2*$E448*$G448*$H448*$N448)+(CK448/12*10*$F448*$G448*$H448*$N448)</f>
        <v>0</v>
      </c>
      <c r="CM448" s="130"/>
      <c r="CN448" s="123">
        <f>(CM448/12*2*$E448*$G448*$H448*$N448)+(CM448/12*10*$F448*$G448*$H448*$N448)</f>
        <v>0</v>
      </c>
      <c r="CO448" s="123"/>
      <c r="CP448" s="123">
        <f>(CO448/12*2*$E448*$G448*$H448*$N448)+(CO448/12*10*$F448*$G448*$H448*$N448)</f>
        <v>0</v>
      </c>
      <c r="CQ448" s="123"/>
      <c r="CR448" s="123">
        <f>(CQ448/12*2*$E448*$G448*$H448*$O448)+(CQ448/12*10*$F448*$G448*$H448*$O448)</f>
        <v>0</v>
      </c>
      <c r="CS448" s="123"/>
      <c r="CT448" s="127">
        <f>(CS448/12*2*$E448*$G448*$H448*$P448)+(CS448/12*10*$F448*$G448*$H448*$P448)</f>
        <v>0</v>
      </c>
      <c r="CU448" s="127"/>
      <c r="CV448" s="127"/>
      <c r="CW448" s="126">
        <f>SUM(Q448,S448,U448,W448,Y448,AA448,AC448,AE448,AG448,AM448,BQ448,AI448,AU448,CC448,AW448,AY448,AK448,BC448,AO448,AQ448,BE448,CE448,BG448,BI448,BK448,BS448,BM448,BO448,BU448,BW448,BY448,CA448,CG448,BA448,AS448,CI448,CK448,CM448,CO448,CQ448,CS448,CU448)</f>
        <v>15</v>
      </c>
      <c r="CX448" s="126">
        <f>SUM(R448,T448,V448,X448,Z448,AB448,AD448,AF448,AH448,AN448,BR448,AJ448,AV448,CD448,AX448,AZ448,AL448,BD448,AP448,AR448,BF448,CF448,BH448,BJ448,BL448,BT448,BN448,BP448,BV448,BX448,BZ448,CB448,CH448,BB448,AT448,CJ448,CL448,CN448,CP448,CR448,CT448,CV448)</f>
        <v>2822867.7120000003</v>
      </c>
    </row>
    <row r="449" spans="1:102" ht="24" customHeight="1" x14ac:dyDescent="0.25">
      <c r="A449" s="91"/>
      <c r="B449" s="116">
        <v>371</v>
      </c>
      <c r="C449" s="117" t="s">
        <v>1016</v>
      </c>
      <c r="D449" s="161" t="s">
        <v>1017</v>
      </c>
      <c r="E449" s="95">
        <v>28004</v>
      </c>
      <c r="F449" s="96">
        <v>29405</v>
      </c>
      <c r="G449" s="107">
        <v>3.5</v>
      </c>
      <c r="H449" s="110">
        <v>0.9</v>
      </c>
      <c r="I449" s="110">
        <v>0.85</v>
      </c>
      <c r="J449" s="203"/>
      <c r="K449" s="203"/>
      <c r="L449" s="63"/>
      <c r="M449" s="120">
        <v>1.4</v>
      </c>
      <c r="N449" s="120">
        <v>1.68</v>
      </c>
      <c r="O449" s="120">
        <v>2.23</v>
      </c>
      <c r="P449" s="121">
        <v>2.57</v>
      </c>
      <c r="Q449" s="286">
        <v>20</v>
      </c>
      <c r="R449" s="123">
        <f>(Q449/12*2*$E449*$G449*$H449*$M449*$R$11)+(Q449/12*10*$F449*$G449*$I449*$M449*$R$11)</f>
        <v>2698141.4716666671</v>
      </c>
      <c r="S449" s="124">
        <v>18</v>
      </c>
      <c r="T449" s="125">
        <f>(S449/12*2*$E449*$G449*$H449*$M449*$R$11)+(S449/12*10*$F449*$G449*$I449*$M449*$R$11)</f>
        <v>2428327.3244999996</v>
      </c>
      <c r="U449" s="123">
        <v>179</v>
      </c>
      <c r="V449" s="123">
        <f>(U449/12*2*$E449*$G449*$H449*$M449*$V$11)+(U449/12*10*$F449*$G449*$I449*$M449*$V$12)</f>
        <v>29455474.245458331</v>
      </c>
      <c r="W449" s="123">
        <v>5</v>
      </c>
      <c r="X449" s="126">
        <f>(W449/12*2*$E449*$G449*$H449*$M449*$X$11)+(W449/12*10*$F449*$G449*$I449*$M449*$X$12)</f>
        <v>822778.61020833347</v>
      </c>
      <c r="Y449" s="123"/>
      <c r="Z449" s="123">
        <f>(Y449/12*2*$E449*$G449*$H449*$M449*$Z$11)+(Y449/12*10*$F449*$G449*$I449*$M449*$Z$12)</f>
        <v>0</v>
      </c>
      <c r="AA449" s="123"/>
      <c r="AB449" s="123">
        <f>(AA449/12*2*$E449*$G449*$H449*$M449*$AB$11)+(AA449/12*10*$F449*$G449*$I449*$M449*$AB$11)</f>
        <v>0</v>
      </c>
      <c r="AC449" s="123"/>
      <c r="AD449" s="123"/>
      <c r="AE449" s="123">
        <v>34</v>
      </c>
      <c r="AF449" s="123">
        <f>(AE449/12*2*$E449*$G449*$H449*$M449*$AF$11)+(AE449/12*10*$F449*$G449*$I449*$M449*$AF$11)</f>
        <v>4586840.5018333336</v>
      </c>
      <c r="AG449" s="123">
        <v>0</v>
      </c>
      <c r="AH449" s="126">
        <f>(AG449/12*2*$E449*$G449*$H449*$M449*$AH$11)+(AG449/12*10*$F449*$G449*$I449*$M449*$AH$11)</f>
        <v>0</v>
      </c>
      <c r="AI449" s="123"/>
      <c r="AJ449" s="123">
        <f>(AI449/12*2*$E449*$G449*$H449*$M449*$AJ$11)+(AI449/12*5*$F449*$G449*$I449*$M449*$AJ$12)+(AI449/12*5*$F449*$G449*$I449*$M449*$AJ$13)</f>
        <v>0</v>
      </c>
      <c r="AK449" s="123">
        <v>17</v>
      </c>
      <c r="AL449" s="123">
        <f>(AK449/12*2*$E449*$G449*$H449*$N449*$AL$11)+(AK449/12*5*$F449*$G449*$I449*$N449*$AL$12)+(AK449/12*5*$F449*$G449*$I449*$N449*$AL$13)</f>
        <v>3231666.6910500005</v>
      </c>
      <c r="AM449" s="132"/>
      <c r="AN449" s="123">
        <f>(AM449/12*2*$E449*$G449*$H449*$N449*$AN$11)+(AM449/12*10*$F449*$G449*$I449*$N449*$AN$12)</f>
        <v>0</v>
      </c>
      <c r="AO449" s="130">
        <v>1</v>
      </c>
      <c r="AP449" s="127">
        <f>(AO449/12*2*$E449*$G449*$H449*$N449*$AP$11)+(AO449/12*10*$F449*$G449*$I449*$N449*$AP$11)</f>
        <v>161888.48829999997</v>
      </c>
      <c r="AQ449" s="127">
        <v>0</v>
      </c>
      <c r="AR449" s="127">
        <v>0</v>
      </c>
      <c r="AS449" s="123"/>
      <c r="AT449" s="123"/>
      <c r="AU449" s="123"/>
      <c r="AV449" s="126"/>
      <c r="AW449" s="123"/>
      <c r="AX449" s="123">
        <f>(AW449/12*2*$E449*$G449*$H449*$M449*$AX$11)+(AW449/12*10*$F449*$G449*$I449*$M449*$AX$12)</f>
        <v>0</v>
      </c>
      <c r="AY449" s="123">
        <v>9</v>
      </c>
      <c r="AZ449" s="123">
        <f>(AY449/12*2*$E449*$G449*$H449*$N449*$AZ$11)+(AY449/12*10*$F449*$G449*$I449*$N449*$AZ$11)</f>
        <v>1456996.3947000001</v>
      </c>
      <c r="BA449" s="123">
        <v>4</v>
      </c>
      <c r="BB449" s="123">
        <f>(BA449/12*2*$E449*$G449*$H449*$N449*$BB$11)+(BA449/12*10*$F449*$G449*$I449*$N449*$BB$12)</f>
        <v>569089.91999999993</v>
      </c>
      <c r="BC449" s="123"/>
      <c r="BD449" s="126"/>
      <c r="BE449" s="123"/>
      <c r="BF449" s="123">
        <f>(BE449/12*10*$F449*$G449*$I449*$N449*$BF$12)</f>
        <v>0</v>
      </c>
      <c r="BG449" s="123"/>
      <c r="BH449" s="123">
        <f>(BG449/12*2*$E449*$G449*$H449*$N449*$BH$11)+(BG449/12*10*$F449*$G449*$I449*$N449*$BH$11)</f>
        <v>0</v>
      </c>
      <c r="BI449" s="123">
        <v>3</v>
      </c>
      <c r="BJ449" s="126">
        <f>(BI449/12*2*$E449*$G449*$H449*$N449*$BJ$11)+(BI449/12*10*$F449*$G449*$I449*$N449*$BJ$11)</f>
        <v>529816.87079999992</v>
      </c>
      <c r="BK449" s="123">
        <v>3</v>
      </c>
      <c r="BL449" s="127">
        <f>(BK449/12*2*$E449*$G449*$H449*$N449*$BL$11)+(BK449/12*10*$F449*$G449*$I449*$N449*$BL$11)</f>
        <v>529816.87079999992</v>
      </c>
      <c r="BM449" s="123"/>
      <c r="BN449" s="123">
        <f>(BM449/12*2*$E449*$G449*$H449*$M449*$BN$11)+(BM449/12*10*$F449*$G449*$I449*$M449*$BN$11)</f>
        <v>0</v>
      </c>
      <c r="BO449" s="123">
        <v>1</v>
      </c>
      <c r="BP449" s="123">
        <f>(BO449*$F449*$G449*$I449*$M449*$BP$12)</f>
        <v>110224.6425</v>
      </c>
      <c r="BQ449" s="123"/>
      <c r="BR449" s="123">
        <f>(BQ449/12*2*$E449*$G449*$H449*$M449*$BR$11)+(BQ449/12*10*$F449*$G449*$I449*$M449*$BR$11)</f>
        <v>0</v>
      </c>
      <c r="BS449" s="123"/>
      <c r="BT449" s="123">
        <f>(BS449/12*2*$E449*$G449*$H449*$N449*$BT$11)+(BS449/12*10*$F449*$G449*$I449*$N449*$BT$11)</f>
        <v>0</v>
      </c>
      <c r="BU449" s="123"/>
      <c r="BV449" s="126">
        <f>(BU449/12*2*$E449*$G449*$H449*$M449*$BV$11)+(BU449/12*10*$F449*$G449*$I449*$M449*$BV$11)</f>
        <v>0</v>
      </c>
      <c r="BW449" s="123"/>
      <c r="BX449" s="123">
        <f>(BW449/12*2*$E449*$G449*$H449*$M449*$BX$11)+(BW449/12*10*$F449*$G449*$I449*$M449*$BX$11)</f>
        <v>0</v>
      </c>
      <c r="BY449" s="123"/>
      <c r="BZ449" s="123">
        <f>(BY449/12*2*$E449*$G449*$H449*$M449*$BZ$11)+(BY449/12*10*$F449*$G449*$I449*$M449*$BZ$11)</f>
        <v>0</v>
      </c>
      <c r="CA449" s="123">
        <v>1</v>
      </c>
      <c r="CB449" s="123">
        <f>(CA449/12*2*$E449*$G449*$H449*$M449*$CB$11)+(CA449/12*10*$F449*$G449*$I449*$M449*$CB$11)</f>
        <v>147171.35299999997</v>
      </c>
      <c r="CC449" s="123">
        <v>1</v>
      </c>
      <c r="CD449" s="123">
        <f>(CC449/12*2*$E449*$G449*$H449*$M449*$CD$11)+(CC449/12*10*$F449*$G449*$I449*$M449*$CD$11)</f>
        <v>122642.79416666666</v>
      </c>
      <c r="CE449" s="123"/>
      <c r="CF449" s="123">
        <f>(CE449/12*10*$F449*$G449*$I449*$N449*$CF$11)</f>
        <v>0</v>
      </c>
      <c r="CG449" s="132"/>
      <c r="CH449" s="123">
        <f>(CG449/12*2*$E449*$G449*$H449*$N449*$CH$11)+(CG449/12*10*$F449*$G449*$I449*$N449*$CH$11)</f>
        <v>0</v>
      </c>
      <c r="CI449" s="123"/>
      <c r="CJ449" s="127"/>
      <c r="CK449" s="123"/>
      <c r="CL449" s="123">
        <f>(CK449/12*2*$E449*$G449*$H449*$N449*$CL$11)+(CK449/12*10*$F449*$G449*$I449*$N449*$CL$12)</f>
        <v>0</v>
      </c>
      <c r="CM449" s="130"/>
      <c r="CN449" s="123">
        <f>(CM449/12*2*$E449*$G449*$H449*$N449*$CN$11)+(CM449/12*10*$F449*$G449*$I449*$N449*$CN$11)</f>
        <v>0</v>
      </c>
      <c r="CO449" s="123"/>
      <c r="CP449" s="123">
        <f>(CO449/12*2*$E449*$G449*$H449*$N449*$CP$11)+(CO449/12*10*$F449*$G449*$I449*$N449*$CP$11)</f>
        <v>0</v>
      </c>
      <c r="CQ449" s="123"/>
      <c r="CR449" s="123">
        <f>(CQ449/12*2*$E449*$G449*$H449*$O449*$CR$11)+(CQ449/12*10*$F449*$G449*$I449*$O449*$CR$11)</f>
        <v>0</v>
      </c>
      <c r="CS449" s="123"/>
      <c r="CT449" s="133">
        <f>(CS449/12*2*$E449*$G449*$H449*$P449*$CT$11)+(CS449/12*10*$F449*$G449*$I449*$P449*$CT$11)</f>
        <v>0</v>
      </c>
      <c r="CU449" s="127"/>
      <c r="CV449" s="123"/>
      <c r="CW449" s="126">
        <f t="shared" ref="CW449:CX456" si="601">SUM(Q449,S449,U449,W449,Y449,AA449,AC449,AE449,AG449,AM449,BQ449,AI449,AU449,CC449,AW449,AY449,AK449,BC449,AO449,AQ449,BE449,CE449,BG449,BI449,BK449,BS449,BM449,BO449,BU449,BW449,BY449,CA449,CG449,BA449,AS449,CI449,CK449,CM449,CO449,CQ449,CS449,CU449)</f>
        <v>296</v>
      </c>
      <c r="CX449" s="126">
        <f t="shared" si="601"/>
        <v>46850876.178983346</v>
      </c>
    </row>
    <row r="450" spans="1:102" ht="45" customHeight="1" x14ac:dyDescent="0.25">
      <c r="A450" s="91"/>
      <c r="B450" s="116">
        <v>372</v>
      </c>
      <c r="C450" s="117" t="s">
        <v>1018</v>
      </c>
      <c r="D450" s="161" t="s">
        <v>1019</v>
      </c>
      <c r="E450" s="95">
        <v>28004</v>
      </c>
      <c r="F450" s="96">
        <v>29405</v>
      </c>
      <c r="G450" s="119">
        <v>0.32</v>
      </c>
      <c r="H450" s="107">
        <v>1</v>
      </c>
      <c r="I450" s="108"/>
      <c r="J450" s="108"/>
      <c r="K450" s="108"/>
      <c r="L450" s="63"/>
      <c r="M450" s="120">
        <v>1.4</v>
      </c>
      <c r="N450" s="120">
        <v>1.68</v>
      </c>
      <c r="O450" s="120">
        <v>2.23</v>
      </c>
      <c r="P450" s="121">
        <v>2.57</v>
      </c>
      <c r="Q450" s="286">
        <v>1</v>
      </c>
      <c r="R450" s="123">
        <f>(Q450/12*2*$E450*$G450*$H450*$M450*$R$11)+(Q450/12*10*$F450*$G450*$H450*$M450*$R$11)</f>
        <v>14375.715199999999</v>
      </c>
      <c r="S450" s="124"/>
      <c r="T450" s="125">
        <f>(S450/12*2*$E450*$G450*$H450*$M450*$R$11)+(S450/12*10*$F450*$G450*$H450*$M450*$R$11)</f>
        <v>0</v>
      </c>
      <c r="U450" s="123">
        <v>4</v>
      </c>
      <c r="V450" s="123">
        <f>(U450/12*2*$E450*$G450*$H450*$M450*$V$11)+(U450/12*10*$F450*$G450*$H450*$M450*$V$12)</f>
        <v>70111.656533333327</v>
      </c>
      <c r="W450" s="123">
        <v>15</v>
      </c>
      <c r="X450" s="126">
        <f>(W450/12*2*$E450*$G450*$H450*$M450*$X$11)+(W450/12*10*$F450*$G450*$H450*$M450*$X$12)</f>
        <v>262918.712</v>
      </c>
      <c r="Y450" s="123">
        <v>6</v>
      </c>
      <c r="Z450" s="123">
        <f>(Y450/12*2*$E450*$G450*$H450*$M450*$Z$11)+(Y450/12*10*$F450*$G450*$H450*$M450*$Z$12)</f>
        <v>105167.48480000001</v>
      </c>
      <c r="AA450" s="123"/>
      <c r="AB450" s="123">
        <f>(AA450/12*2*$E450*$G450*$H450*$M450*$AB$11)+(AA450/12*10*$F450*$G450*$H450*$M450*$AB$11)</f>
        <v>0</v>
      </c>
      <c r="AC450" s="123"/>
      <c r="AD450" s="123"/>
      <c r="AE450" s="123">
        <v>12</v>
      </c>
      <c r="AF450" s="127">
        <f>(AE450/12*2*$E450*$G450*$H450*$M450*$AF$11)+(AE450/12*10*$F450*$G450*$H450*$M450*$AF$11)</f>
        <v>172508.58240000001</v>
      </c>
      <c r="AG450" s="123">
        <v>5</v>
      </c>
      <c r="AH450" s="126">
        <f>(AG450/12*2*$E450*$G450*$H450*$M450*$AH$11)+(AG450/12*10*$F450*$G450*$H450*$M450*$AH$11)</f>
        <v>71878.576000000015</v>
      </c>
      <c r="AI450" s="130">
        <v>1</v>
      </c>
      <c r="AJ450" s="123">
        <f>(AI450/12*2*$E450*$G450*$H450*$M450*$AJ$11)+(AI450/12*5*$F450*$G450*$H450*$M450*$AJ$12)+(AI450/12*5*$F450*$G450*$H450*$M450*$AJ$13)</f>
        <v>16879.702933333334</v>
      </c>
      <c r="AK450" s="123">
        <v>10</v>
      </c>
      <c r="AL450" s="123">
        <f>(AK450/12*2*$E450*$G450*$H450*$N450*$AL$11)+(AK450/12*5*$F450*$G450*$H450*$N450*$AL$12)++(AK450/12*5*$F450*$G450*$H450*$N450*$AL$13)</f>
        <v>202556.43520000004</v>
      </c>
      <c r="AM450" s="132"/>
      <c r="AN450" s="123">
        <f>(AM450/12*2*$E450*$G450*$H450*$N450*$AN$11)+(AM450/12*10*$F450*$G450*$H450*$N450*$AN$12)</f>
        <v>0</v>
      </c>
      <c r="AO450" s="130"/>
      <c r="AP450" s="127">
        <f>(AO450/12*2*$E450*$G450*$H450*$N450*$AP$11)+(AO450/12*10*$F450*$G450*$H450*$N450*$AP$11)</f>
        <v>0</v>
      </c>
      <c r="AQ450" s="127">
        <v>0</v>
      </c>
      <c r="AR450" s="127">
        <v>0</v>
      </c>
      <c r="AS450" s="123"/>
      <c r="AT450" s="123">
        <f>(AS450/12*2*$E450*$G450*$H450*$M450*$AT$11)+(AS450/12*10*$F450*$G450*$H450*$M450*$AT$11)</f>
        <v>0</v>
      </c>
      <c r="AU450" s="123"/>
      <c r="AV450" s="126">
        <f>(AU450/12*2*$E450*$G450*$H450*$M450*$AV$11)+(AU450/12*10*$F450*$G450*$H450*$M450*$AV$12)</f>
        <v>0</v>
      </c>
      <c r="AW450" s="123"/>
      <c r="AX450" s="123">
        <f>(AW450/12*2*$E450*$G450*$H450*$M450*$AX$11)+(AW450/12*10*$F450*$G450*$H450*$M450*$AX$12)</f>
        <v>0</v>
      </c>
      <c r="AY450" s="123">
        <v>0</v>
      </c>
      <c r="AZ450" s="123">
        <f>(AY450/12*2*$E450*$G450*$H450*$N450*$AZ$11)+(AY450/12*10*$F450*$G450*$H450*$N450*$AZ$11)</f>
        <v>0</v>
      </c>
      <c r="BA450" s="123"/>
      <c r="BB450" s="123">
        <f>(BA450/12*2*$E450*$G450*$H450*$N450*$BB$11)+(BA450/12*10*$F450*$G450*$H450*$N450*$BB$12)</f>
        <v>0</v>
      </c>
      <c r="BC450" s="123"/>
      <c r="BD450" s="126">
        <f t="shared" ref="BD450:BD456" si="602">(BC450/12*2*$E450*$G450*$H450*$N450*$BD$11)+(BC450/12*10*$F450*$G450*$H450*$N450*$BD$12)</f>
        <v>0</v>
      </c>
      <c r="BE450" s="123"/>
      <c r="BF450" s="123">
        <f>(BE450/12*10*$F450*$G450*$H450*$N450*$BF$12)</f>
        <v>0</v>
      </c>
      <c r="BG450" s="123">
        <v>2</v>
      </c>
      <c r="BH450" s="123">
        <f>(BG450/12*2*$E450*$G450*$H450*$N450*$BH$11)+(BG450/12*10*$F450*$G450*$H450*$N450*$BH$11)</f>
        <v>28228.67712</v>
      </c>
      <c r="BI450" s="123">
        <v>6</v>
      </c>
      <c r="BJ450" s="126">
        <f>(BI450/12*2*$E450*$G450*$H450*$N450*$BJ$11)+(BI450/12*10*$F450*$G450*$H450*$N450*$BJ$11)</f>
        <v>112914.70848</v>
      </c>
      <c r="BK450" s="123">
        <v>45</v>
      </c>
      <c r="BL450" s="127">
        <f>(BK450/12*2*$E450*$G450*$H450*$N450*$BL$11)+(BK450/12*10*$F450*$G450*$H450*$N450*$BL$11)</f>
        <v>846860.31359999988</v>
      </c>
      <c r="BM450" s="123"/>
      <c r="BN450" s="123">
        <f>(BM450/12*2*$E450*$G450*$H450*$M450*$BN$11)+(BM450/12*10*$F450*$G450*$H450*$M450*$BN$11)</f>
        <v>0</v>
      </c>
      <c r="BO450" s="123"/>
      <c r="BP450" s="123">
        <f>(BO450/12*2*$E450*$G450*$H450*$M450*$BP$11)+(BO450/12*10*$F450*$G450*$H450*$M450*$BP$12)</f>
        <v>0</v>
      </c>
      <c r="BQ450" s="123"/>
      <c r="BR450" s="123">
        <f>(BQ450/12*2*$E450*$G450*$H450*$M450*$BR$11)+(BQ450/12*10*$F450*$G450*$H450*$M450*$BR$11)</f>
        <v>0</v>
      </c>
      <c r="BS450" s="123"/>
      <c r="BT450" s="123">
        <f>(BS450/12*2*$E450*$G450*$H450*$N450*$BT$11)+(BS450/12*10*$F450*$G450*$H450*$N450*$BT$11)</f>
        <v>0</v>
      </c>
      <c r="BU450" s="123"/>
      <c r="BV450" s="126">
        <f>(BU450/12*2*$E450*$G450*$H450*$M450*$BV$11)+(BU450/12*10*$F450*$G450*$H450*$M450*$BV$11)</f>
        <v>0</v>
      </c>
      <c r="BW450" s="123"/>
      <c r="BX450" s="123">
        <f>(BW450/12*2*$E450*$G450*$H450*$M450*$BX$11)+(BW450/12*10*$F450*$G450*$H450*$M450*$BX$11)</f>
        <v>0</v>
      </c>
      <c r="BY450" s="123"/>
      <c r="BZ450" s="123">
        <f>(BY450/12*2*$E450*$G450*$H450*$M450*$BZ$11)+(BY450/12*10*$F450*$G450*$H450*$M450*$BZ$11)</f>
        <v>0</v>
      </c>
      <c r="CA450" s="123">
        <v>1</v>
      </c>
      <c r="CB450" s="123">
        <f>(CA450/12*2*$E450*$G450*$H450*$M450*$CB$11)+(CA450/12*10*$F450*$G450*$H450*$M450*$CB$11)</f>
        <v>15682.598399999997</v>
      </c>
      <c r="CC450" s="123">
        <v>3</v>
      </c>
      <c r="CD450" s="123">
        <f>(CC450/12*2*$E450*$G450*$H450*$M450*$CD$11)+(CC450/12*10*$F450*$G450*$H450*$M450*$CD$11)</f>
        <v>39206.495999999999</v>
      </c>
      <c r="CE450" s="123"/>
      <c r="CF450" s="123">
        <f>(CE450/12*10*$F450*$G450*$H450*$N450*$CF$11)</f>
        <v>0</v>
      </c>
      <c r="CG450" s="132"/>
      <c r="CH450" s="123">
        <f>(CG450/12*2*$E450*$G450*$H450*$N450*$CH$11)+(CG450/12*10*$F450*$G450*$H450*$N450*$CH$11)</f>
        <v>0</v>
      </c>
      <c r="CI450" s="123"/>
      <c r="CJ450" s="127"/>
      <c r="CK450" s="123"/>
      <c r="CL450" s="123">
        <f>(CK450/12*2*$E450*$G450*$H450*$N450*$CL$11)+(CK450/12*10*$F450*$G450*$H450*$N450*$CL$12)</f>
        <v>0</v>
      </c>
      <c r="CM450" s="130"/>
      <c r="CN450" s="123">
        <f>(CM450/12*2*$E450*$G450*$H450*$N450*$CN$11)+(CM450/12*10*$F450*$G450*$H450*$N450*$CN$11)</f>
        <v>0</v>
      </c>
      <c r="CO450" s="123">
        <v>30</v>
      </c>
      <c r="CP450" s="123">
        <v>7527.48</v>
      </c>
      <c r="CQ450" s="123"/>
      <c r="CR450" s="123">
        <f>(CQ450/12*2*$E450*$G450*$H450*$O450*$CR$11)+(CQ450/12*10*$F450*$G450*$H450*$O450*$CR$11)</f>
        <v>0</v>
      </c>
      <c r="CS450" s="123">
        <v>10</v>
      </c>
      <c r="CT450" s="133">
        <f>(CS450/12*2*$E450*$G450*$H450*$P450*$CT$11)+(CS450/12*10*$F450*$G450*$H450*$P450*$CT$11)</f>
        <v>239906.41600000003</v>
      </c>
      <c r="CU450" s="123"/>
      <c r="CV450" s="123">
        <f>(CU450*$E450*$G450*$H450*$M450*CV$11)/12*6+(CU450*$E450*$G450*$H450*1*CV$11)/12*6</f>
        <v>0</v>
      </c>
      <c r="CW450" s="126">
        <f t="shared" si="601"/>
        <v>151</v>
      </c>
      <c r="CX450" s="126">
        <f t="shared" si="601"/>
        <v>2206723.5546666668</v>
      </c>
    </row>
    <row r="451" spans="1:102" ht="45" customHeight="1" x14ac:dyDescent="0.25">
      <c r="A451" s="91"/>
      <c r="B451" s="116">
        <v>373</v>
      </c>
      <c r="C451" s="117" t="s">
        <v>1020</v>
      </c>
      <c r="D451" s="241" t="s">
        <v>1021</v>
      </c>
      <c r="E451" s="95">
        <v>28004</v>
      </c>
      <c r="F451" s="96">
        <v>29405</v>
      </c>
      <c r="G451" s="107">
        <v>0.26</v>
      </c>
      <c r="H451" s="107">
        <v>1</v>
      </c>
      <c r="I451" s="108"/>
      <c r="J451" s="108"/>
      <c r="K451" s="108"/>
      <c r="L451" s="242">
        <v>0.3</v>
      </c>
      <c r="M451" s="120">
        <v>1.4</v>
      </c>
      <c r="N451" s="120">
        <v>1.68</v>
      </c>
      <c r="O451" s="120">
        <v>2.23</v>
      </c>
      <c r="P451" s="121">
        <v>2.57</v>
      </c>
      <c r="Q451" s="286">
        <v>0</v>
      </c>
      <c r="R451" s="143">
        <f>(Q451/12*2*$E451*$G451*((1-$L451)+$L451*$M451*$R$11*$H451))+(Q451/12*10*$F451*$G451*((1-$L451)+$L451*$M451*$R$11*$H451))</f>
        <v>0</v>
      </c>
      <c r="S451" s="157"/>
      <c r="T451" s="144">
        <f>(S451/12*2*$E451*$G451*((1-$L451)+$L451*$M451*$R$11*$H451))+(S451/12*10*$F451*$G451*((1-$L451)+$L451*$M451*$R$11*$H451))</f>
        <v>0</v>
      </c>
      <c r="U451" s="143"/>
      <c r="V451" s="143">
        <f>(U451/12*2*$E451*$G451*((1-$L451)+$L451*$M451*V$11*$H451))+(U451/12*10*$F451*$G451*((1-$L451)+$L451*$M451*V$12*$H451))</f>
        <v>0</v>
      </c>
      <c r="W451" s="123"/>
      <c r="X451" s="143">
        <f>(W451/12*2*$E451*$G451*((1-$L451)+$L451*$M451*$X$11*$H451))+(W451/12*10*$F451*$G451*((1-$L451)+$L451*$M451*$X$12*$H451))</f>
        <v>0</v>
      </c>
      <c r="Y451" s="123"/>
      <c r="Z451" s="143">
        <f>(Y451/12*2*$E451*$G451*((1-$L451)+$L451*$M451*$Z$11*$H451))+(Y451/12*10*$F451*$G451*((1-$L451)+$L451*$M451*$Z$12*$H451))</f>
        <v>0</v>
      </c>
      <c r="AA451" s="123"/>
      <c r="AB451" s="143">
        <f>(AA451/12*2*$E451*$G451*((1-$L451)+$L451*$M451*$AB$11*$H451))+(AA451/12*10*$F451*$G451*((1-$L451)+$L451*$M451*$AB$11*$H451))</f>
        <v>0</v>
      </c>
      <c r="AC451" s="123"/>
      <c r="AD451" s="123"/>
      <c r="AE451" s="123"/>
      <c r="AF451" s="143">
        <f>(AE451/12*2*$E451*$G451*((1-$L451)+$L451*$M451*AF$11*$H451))+(AE451/12*10*$F451*$G451*((1-$L451)+$L451*$M451*AF$11*$H451))</f>
        <v>0</v>
      </c>
      <c r="AG451" s="135">
        <v>0</v>
      </c>
      <c r="AH451" s="145">
        <f>(AG451/12*2*$E451*$G451*((1-$L451)+$L451*$H451*AH$11*$M451))+(AG451/12*10*$F451*$G451*((1-$L451)+$L451*$H451*AH$11*$M451))</f>
        <v>0</v>
      </c>
      <c r="AI451" s="123"/>
      <c r="AJ451" s="143">
        <f t="shared" ref="AJ451:AJ454" si="603">(AI451/12*2*$E451*$G451*((1-$L451)+$L451*$H451*AJ$11*$M451))+(AI451/12*5*$F451*$G451*((1-$L451)+$L451*$H451*AJ$12*$M451))+(AI451/12*5*$F451*$G451*((1-$L451)+$L451*$H451*AJ$13*$M451))</f>
        <v>0</v>
      </c>
      <c r="AK451" s="123"/>
      <c r="AL451" s="143">
        <f t="shared" ref="AL451:AL454" si="604">(AK451/12*2*$E451*$G451*((1-$L451)+$L451*$H451*AL$11*$N451))+(AK451/12*4*$F451*$G451*((1-$L451)+$L451*$H451*AL$12*$N451))+(AK451/12*6*$F451*$G451*((1-$L451)+$L451*$H451*AL$13*$N451))</f>
        <v>0</v>
      </c>
      <c r="AM451" s="132"/>
      <c r="AN451" s="143">
        <f>(AM451/12*2*$E451*$G451*((1-$L451)+$L451*$N451*$AN$11*H451))+(AM451/12*10*$F451*$G451*((1-$L451)+$L451*$N451*$AN$12*H451))</f>
        <v>0</v>
      </c>
      <c r="AO451" s="130"/>
      <c r="AP451" s="143">
        <f>(AO451/12*2*$E451*$G451*((1-$L451)+$L451*$H451*AP$11*$N451))+(AO451/12*10*$F451*$G451*((1-$L451)+$L451*$H451*AP$11*$N451))</f>
        <v>0</v>
      </c>
      <c r="AQ451" s="143"/>
      <c r="AR451" s="143"/>
      <c r="AS451" s="123"/>
      <c r="AT451" s="123"/>
      <c r="AU451" s="123"/>
      <c r="AV451" s="123"/>
      <c r="AW451" s="123"/>
      <c r="AX451" s="143">
        <f>(AW451/12*2*$E451*$G451*((1-$L451)+$L451*$H451*AX$11*$M451))+(AW451/12*10*$F451*$G451*((1-$L451)+$L451*$H451*AX$12*$M451))</f>
        <v>0</v>
      </c>
      <c r="AY451" s="123">
        <v>0</v>
      </c>
      <c r="AZ451" s="143">
        <f>(AY451/12*2*$E451*$G451*((1-$L451)+$L451*$N451*$H451*$AZ$11))+(AY451/12*10*$F451*$G451*((1-$L451)+$L451*$N451*$H451*$AZ$11))</f>
        <v>0</v>
      </c>
      <c r="BA451" s="123"/>
      <c r="BB451" s="143">
        <f>(BA451/12*2*$E451*$G451*((1-$L451)+$L451*$H451*BB$11*$N451))+(BA451/12*10*$F451*$G451*((1-$L451)+$L451*$H451*BB$12*$N451))</f>
        <v>0</v>
      </c>
      <c r="BC451" s="123"/>
      <c r="BD451" s="146">
        <f t="shared" si="602"/>
        <v>0</v>
      </c>
      <c r="BE451" s="123"/>
      <c r="BF451" s="143">
        <f>(BE451/12*2*$E451*$G451*((1-$L451)+$L451*$H451*BF$11*$N451))+(BE451/12*10*$F451*$G451*((1-$L451)+$L451*$H451*BF$12*$N451))</f>
        <v>0</v>
      </c>
      <c r="BG451" s="123"/>
      <c r="BH451" s="143">
        <f>(BG451/12*2*$E451*$G451*((1-$L451)+$L451*$H451*BH$11*$N451))+(BG451/12*10*$F451*$G451*((1-$L451)+$L451*$H451*BH$11*$N451))</f>
        <v>0</v>
      </c>
      <c r="BI451" s="123"/>
      <c r="BJ451" s="143">
        <f>(BI451/12*2*$E451*$G451*((1-$L451)+$L451*$H451*BJ$11*$N451))+(BI451/12*10*$F451*$G451*((1-$L451)+$L451*$H451*BJ$11*$N451))</f>
        <v>0</v>
      </c>
      <c r="BK451" s="123"/>
      <c r="BL451" s="143">
        <f>(BK451/12*2*$E451*$G451*((1-$L451)+$L451*$H451*BL$11*$N451))+(BK451/12*10*$F451*$G451*((1-$L451)+$L451*$H451*BL$11*$N451))</f>
        <v>0</v>
      </c>
      <c r="BM451" s="123"/>
      <c r="BN451" s="143">
        <f>(BM451/12*2*$E451*$G451*((1-$L451)+$L451*$H451*BN$11*$M451))+(BM451/12*10*$F451*$G451*((1-$L451)+$L451*$H451*BN$11*$M451))</f>
        <v>0</v>
      </c>
      <c r="BO451" s="123"/>
      <c r="BP451" s="143">
        <f>(BO451/12*2*$E451*$G451*((1-$L451)+$L451*$H451*BP$11*$M451))+(BO451/12*10*$F451*$G451*((1-$L451)+$L451*$H451*BP$12*$M451))</f>
        <v>0</v>
      </c>
      <c r="BQ451" s="123"/>
      <c r="BR451" s="123"/>
      <c r="BS451" s="123"/>
      <c r="BT451" s="143">
        <f>(BS451/12*2*$E451*$G451*((1-$L451)+$L451*$H451*BT$11*$N451))+(BS451/12*10*$F451*$G451*((1-$L451)+$L451*$H451*BT$11*$N451))</f>
        <v>0</v>
      </c>
      <c r="BU451" s="123"/>
      <c r="BV451" s="123"/>
      <c r="BW451" s="123"/>
      <c r="BX451" s="143">
        <f>(BW451/12*2*$E451*$G451*((1-$L451)+$L451*$H451*BX$11*$M451))+(BW451/12*10*$F451*$G451*((1-$L451)+$L451*$H451*BX$11*$M451))</f>
        <v>0</v>
      </c>
      <c r="BY451" s="123"/>
      <c r="BZ451" s="143">
        <f>(BY451/12*2*$E451*$G451*((1-$L451)+$L451*$H451*BZ$11*$M451))+(BY451/12*10*$F451*$G451*((1-$L451)+$L451*$H451*BZ$11*$M451))</f>
        <v>0</v>
      </c>
      <c r="CA451" s="123"/>
      <c r="CB451" s="143">
        <f>(CA451/12*2*$E451*$G451*((1-$L451)+$L451*$H451*CB$11*$M451))+(CA451/12*10*$F451*$G451*((1-$L451)+$L451*$H451*CB$11*$M451))</f>
        <v>0</v>
      </c>
      <c r="CC451" s="123"/>
      <c r="CD451" s="146">
        <f>(CC451/12*2*$E451*$G451*((1-$L451)+$L451*$M451*$CD$11*$H451))+(CC451/12*10*$F451*$G451*((1-$L451)+$L451*$M451*$CD$11*$H451))</f>
        <v>0</v>
      </c>
      <c r="CE451" s="123"/>
      <c r="CF451" s="143">
        <f>(CE451/12*10*$F451*$G451*((1-$L451)+$L451*$H451*CF$11*$N451))</f>
        <v>0</v>
      </c>
      <c r="CG451" s="132"/>
      <c r="CH451" s="143">
        <f>(CG451/12*2*$E451*$G451*((1-$L451)+$L451*$H451*CH$11*$N451))+(CG451/12*10*$F451*$G451*((1-$L451)+$L451*$H451*CH$11*$N451))</f>
        <v>0</v>
      </c>
      <c r="CI451" s="123"/>
      <c r="CJ451" s="127"/>
      <c r="CK451" s="123"/>
      <c r="CL451" s="123"/>
      <c r="CM451" s="130"/>
      <c r="CN451" s="143">
        <f>((CM451/12*2*$E451*$G451*((1-$L451)+$L451*$H451*CN$11*$N451)))+((CM451/12*10*$F451*$G451*((1-$L451)+$L451*$H451*CN$11*$N451)))</f>
        <v>0</v>
      </c>
      <c r="CO451" s="123"/>
      <c r="CP451" s="143">
        <f>(CO451/12*2*$E451*$G451*((1-$L451)+$L451*$H451*CP$11*$N451))+(CO451/12*10*$F451*$G451*((1-$L451)+$L451*$H451*CP$11*$N451))</f>
        <v>0</v>
      </c>
      <c r="CQ451" s="123"/>
      <c r="CR451" s="143">
        <f>(CQ451/12*2*$E451*$G451*((1-$L451)+$L451*$H451*CR$11*$O451))+(CQ451/12*10*$F451*$G451*((1-$L451)+$L451*$H451*CR$11*$O451))</f>
        <v>0</v>
      </c>
      <c r="CS451" s="123"/>
      <c r="CT451" s="143">
        <f>(CS451/12*2*$E451*$G451*((1-$L451)+$L451*$H451*CT$11*$P451))+(CS451/12*10*$F451*$G451*((1-$L451)+$L451*$H451*CT$11*$P451))</f>
        <v>0</v>
      </c>
      <c r="CU451" s="123"/>
      <c r="CV451" s="127"/>
      <c r="CW451" s="126">
        <f t="shared" si="601"/>
        <v>0</v>
      </c>
      <c r="CX451" s="126">
        <f t="shared" si="601"/>
        <v>0</v>
      </c>
    </row>
    <row r="452" spans="1:102" ht="45" customHeight="1" x14ac:dyDescent="0.25">
      <c r="A452" s="91"/>
      <c r="B452" s="116">
        <v>374</v>
      </c>
      <c r="C452" s="117" t="s">
        <v>1022</v>
      </c>
      <c r="D452" s="241" t="s">
        <v>1023</v>
      </c>
      <c r="E452" s="95">
        <v>28004</v>
      </c>
      <c r="F452" s="96">
        <v>29405</v>
      </c>
      <c r="G452" s="107">
        <v>0.76</v>
      </c>
      <c r="H452" s="107">
        <v>1</v>
      </c>
      <c r="I452" s="108"/>
      <c r="J452" s="108"/>
      <c r="K452" s="108"/>
      <c r="L452" s="242">
        <v>0.3</v>
      </c>
      <c r="M452" s="120">
        <v>1.4</v>
      </c>
      <c r="N452" s="120">
        <v>1.68</v>
      </c>
      <c r="O452" s="120">
        <v>2.23</v>
      </c>
      <c r="P452" s="121">
        <v>2.57</v>
      </c>
      <c r="Q452" s="286">
        <v>0</v>
      </c>
      <c r="R452" s="143">
        <f>(Q452/12*2*$E452*$G452*((1-$L452)+$L452*$M452*$R$11*$H452))+(Q452/12*10*$F452*$G452*((1-$L452)+$L452*$M452*$R$11*$H452))</f>
        <v>0</v>
      </c>
      <c r="S452" s="157"/>
      <c r="T452" s="144">
        <f>(S452/12*2*$E452*$G452*((1-$L452)+$L452*$M452*$R$11*$H452))+(S452/12*10*$F452*$G452*((1-$L452)+$L452*$M452*$R$11*$H452))</f>
        <v>0</v>
      </c>
      <c r="U452" s="143"/>
      <c r="V452" s="143">
        <f>(U452/12*2*$E452*$G452*((1-$L452)+$L452*$M452*V$11*$H452))+(U452/12*10*$F452*$G452*((1-$L452)+$L452*$M452*V$12*$H452))</f>
        <v>0</v>
      </c>
      <c r="W452" s="123"/>
      <c r="X452" s="143">
        <f>(W452/12*2*$E452*$G452*((1-$L452)+$L452*$M452*$X$11*$H452))+(W452/12*10*$F452*$G452*((1-$L452)+$L452*$M452*$X$12*$H452))</f>
        <v>0</v>
      </c>
      <c r="Y452" s="123"/>
      <c r="Z452" s="143">
        <f>(Y452/12*2*$E452*$G452*((1-$L452)+$L452*$M452*$Z$11*$H452))+(Y452/12*10*$F452*$G452*((1-$L452)+$L452*$M452*$Z$12*$H452))</f>
        <v>0</v>
      </c>
      <c r="AA452" s="123"/>
      <c r="AB452" s="143">
        <f>(AA452/12*2*$E452*$G452*((1-$L452)+$L452*$M452*$AB$11*$H452))+(AA452/12*10*$F452*$G452*((1-$L452)+$L452*$M452*$AB$11*$H452))</f>
        <v>0</v>
      </c>
      <c r="AC452" s="123"/>
      <c r="AD452" s="123"/>
      <c r="AE452" s="123"/>
      <c r="AF452" s="143">
        <f>(AE452/12*2*$E452*$G452*((1-$L452)+$L452*$M452*AF$11*$H452))+(AE452/12*10*$F452*$G452*((1-$L452)+$L452*$M452*AF$11*$H452))</f>
        <v>0</v>
      </c>
      <c r="AG452" s="123">
        <v>0</v>
      </c>
      <c r="AH452" s="143">
        <f>(AG452/12*2*$E452*$G452*((1-$L452)+$L452*$H452*AH$11*$M452))+(AG452/12*10*$F452*$G452*((1-$L452)+$L452*$H452*AH$11*$M452))</f>
        <v>0</v>
      </c>
      <c r="AI452" s="123"/>
      <c r="AJ452" s="143">
        <f t="shared" si="603"/>
        <v>0</v>
      </c>
      <c r="AK452" s="123"/>
      <c r="AL452" s="143">
        <f t="shared" si="604"/>
        <v>0</v>
      </c>
      <c r="AM452" s="132"/>
      <c r="AN452" s="143">
        <f>(AM452/12*2*$E452*$G452*((1-$L452)+$L452*$N452*$AN$11*H452))+(AM452/12*10*$F452*$G452*((1-$L452)+$L452*$N452*$AN$12*H452))</f>
        <v>0</v>
      </c>
      <c r="AO452" s="130"/>
      <c r="AP452" s="143">
        <f>(AO452/12*2*$E452*$G452*((1-$L452)+$L452*$H452*AP$11*$N452))+(AO452/12*10*$F452*$G452*((1-$L452)+$L452*$H452*AP$11*$N452))</f>
        <v>0</v>
      </c>
      <c r="AQ452" s="143"/>
      <c r="AR452" s="143"/>
      <c r="AS452" s="123"/>
      <c r="AT452" s="123"/>
      <c r="AU452" s="123"/>
      <c r="AV452" s="123"/>
      <c r="AW452" s="123"/>
      <c r="AX452" s="143">
        <f>(AW452/12*2*$E452*$G452*((1-$L452)+$L452*$H452*AX$11*$M452))+(AW452/12*10*$F452*$G452*((1-$L452)+$L452*$H452*AX$12*$M452))</f>
        <v>0</v>
      </c>
      <c r="AY452" s="123">
        <v>0</v>
      </c>
      <c r="AZ452" s="143">
        <f>(AY452/12*2*$E452*$G452*((1-$L452)+$L452*$N452*$H452*$AZ$11))+(AY452/12*10*$F452*$G452*((1-$L452)+$L452*$N452*$H452*$AZ$11))</f>
        <v>0</v>
      </c>
      <c r="BA452" s="123"/>
      <c r="BB452" s="143">
        <f>(BA452/12*2*$E452*$G452*((1-$L452)+$L452*$H452*BB$11*$N452))+(BA452/12*10*$F452*$G452*((1-$L452)+$L452*$H452*BB$12*$N452))</f>
        <v>0</v>
      </c>
      <c r="BC452" s="123"/>
      <c r="BD452" s="146">
        <f t="shared" si="602"/>
        <v>0</v>
      </c>
      <c r="BE452" s="123"/>
      <c r="BF452" s="143">
        <f>(BE452/12*2*$E452*$G452*((1-$L452)+$L452*$H452*BF$11*$N452))+(BE452/12*10*$F452*$G452*((1-$L452)+$L452*$H452*BF$12*$N452))</f>
        <v>0</v>
      </c>
      <c r="BG452" s="123"/>
      <c r="BH452" s="143">
        <f>(BG452/12*2*$E452*$G452*((1-$L452)+$L452*$H452*BH$11*$N452))+(BG452/12*10*$F452*$G452*((1-$L452)+$L452*$H452*BH$11*$N452))</f>
        <v>0</v>
      </c>
      <c r="BI452" s="123"/>
      <c r="BJ452" s="143">
        <f>(BI452/12*2*$E452*$G452*((1-$L452)+$L452*$H452*BJ$11*$N452))+(BI452/12*10*$F452*$G452*((1-$L452)+$L452*$H452*BJ$11*$N452))</f>
        <v>0</v>
      </c>
      <c r="BK452" s="123"/>
      <c r="BL452" s="143">
        <f>(BK452/12*2*$E452*$G452*((1-$L452)+$L452*$H452*BL$11*$N452))+(BK452/12*10*$F452*$G452*((1-$L452)+$L452*$H452*BL$11*$N452))</f>
        <v>0</v>
      </c>
      <c r="BM452" s="123"/>
      <c r="BN452" s="143">
        <f>(BM452/12*2*$E452*$G452*((1-$L452)+$L452*$H452*BN$11*$M452))+(BM452/12*10*$F452*$G452*((1-$L452)+$L452*$H452*BN$11*$M452))</f>
        <v>0</v>
      </c>
      <c r="BO452" s="123"/>
      <c r="BP452" s="143">
        <f>(BO452/12*2*$E452*$G452*((1-$L452)+$L452*$H452*BP$11*$M452))+(BO452/12*10*$F452*$G452*((1-$L452)+$L452*$H452*BP$12*$M452))</f>
        <v>0</v>
      </c>
      <c r="BQ452" s="123"/>
      <c r="BR452" s="123"/>
      <c r="BS452" s="123"/>
      <c r="BT452" s="143">
        <f>(BS452/12*2*$E452*$G452*((1-$L452)+$L452*$H452*BT$11*$N452))+(BS452/12*10*$F452*$G452*((1-$L452)+$L452*$H452*BT$11*$N452))</f>
        <v>0</v>
      </c>
      <c r="BU452" s="123"/>
      <c r="BV452" s="123"/>
      <c r="BW452" s="123"/>
      <c r="BX452" s="143">
        <f>(BW452/12*2*$E452*$G452*((1-$L452)+$L452*$H452*BX$11*$M452))+(BW452/12*10*$F452*$G452*((1-$L452)+$L452*$H452*BX$11*$M452))</f>
        <v>0</v>
      </c>
      <c r="BY452" s="123"/>
      <c r="BZ452" s="143">
        <f>(BY452/12*2*$E452*$G452*((1-$L452)+$L452*$H452*BZ$11*$M452))+(BY452/12*10*$F452*$G452*((1-$L452)+$L452*$H452*BZ$11*$M452))</f>
        <v>0</v>
      </c>
      <c r="CA452" s="123"/>
      <c r="CB452" s="143">
        <f>(CA452/12*2*$E452*$G452*((1-$L452)+$L452*$H452*CB$11*$M452))+(CA452/12*10*$F452*$G452*((1-$L452)+$L452*$H452*CB$11*$M452))</f>
        <v>0</v>
      </c>
      <c r="CC452" s="123"/>
      <c r="CD452" s="146">
        <f>(CC452/12*2*$E452*$G452*((1-$L452)+$L452*$M452*$CD$11*$H452))+(CC452/12*10*$F452*$G452*((1-$L452)+$L452*$M452*$CD$11*$H452))</f>
        <v>0</v>
      </c>
      <c r="CE452" s="123"/>
      <c r="CF452" s="143">
        <f>(CE452/12*10*$F452*$G452*((1-$L452)+$L452*$H452*CF$11*$N452))</f>
        <v>0</v>
      </c>
      <c r="CG452" s="132"/>
      <c r="CH452" s="143">
        <f>(CG452/12*2*$E452*$G452*((1-$L452)+$L452*$H452*CH$11*$N452))+(CG452/12*10*$F452*$G452*((1-$L452)+$L452*$H452*CH$11*$N452))</f>
        <v>0</v>
      </c>
      <c r="CI452" s="123"/>
      <c r="CJ452" s="127"/>
      <c r="CK452" s="123"/>
      <c r="CL452" s="123"/>
      <c r="CM452" s="130"/>
      <c r="CN452" s="143">
        <f>((CM452/12*2*$E452*$G452*((1-$L452)+$L452*$H452*CN$11*$N452)))+((CM452/12*10*$F452*$G452*((1-$L452)+$L452*$H452*CN$11*$N452)))</f>
        <v>0</v>
      </c>
      <c r="CO452" s="123"/>
      <c r="CP452" s="143">
        <f>(CO452/12*2*$E452*$G452*((1-$L452)+$L452*$H452*CP$11*$N452))+(CO452/12*10*$F452*$G452*((1-$L452)+$L452*$H452*CP$11*$N452))</f>
        <v>0</v>
      </c>
      <c r="CQ452" s="123"/>
      <c r="CR452" s="143">
        <f>(CQ452/12*2*$E452*$G452*((1-$L452)+$L452*$H452*CR$11*$O452))+(CQ452/12*10*$F452*$G452*((1-$L452)+$L452*$H452*CR$11*$O452))</f>
        <v>0</v>
      </c>
      <c r="CS452" s="123"/>
      <c r="CT452" s="143">
        <f>(CS452/12*2*$E452*$G452*((1-$L452)+$L452*$H452*CT$11*$P452))+(CS452/12*10*$F452*$G452*((1-$L452)+$L452*$H452*CT$11*$P452))</f>
        <v>0</v>
      </c>
      <c r="CU452" s="123"/>
      <c r="CV452" s="127"/>
      <c r="CW452" s="126">
        <f t="shared" si="601"/>
        <v>0</v>
      </c>
      <c r="CX452" s="126">
        <f t="shared" si="601"/>
        <v>0</v>
      </c>
    </row>
    <row r="453" spans="1:102" ht="45" customHeight="1" x14ac:dyDescent="0.25">
      <c r="A453" s="91"/>
      <c r="B453" s="116">
        <v>375</v>
      </c>
      <c r="C453" s="117" t="s">
        <v>1024</v>
      </c>
      <c r="D453" s="241" t="s">
        <v>1025</v>
      </c>
      <c r="E453" s="95">
        <v>28004</v>
      </c>
      <c r="F453" s="96">
        <v>29405</v>
      </c>
      <c r="G453" s="107">
        <v>1.38</v>
      </c>
      <c r="H453" s="107">
        <v>1</v>
      </c>
      <c r="I453" s="108"/>
      <c r="J453" s="108"/>
      <c r="K453" s="108"/>
      <c r="L453" s="242">
        <v>0.3</v>
      </c>
      <c r="M453" s="120">
        <v>1.4</v>
      </c>
      <c r="N453" s="120">
        <v>1.68</v>
      </c>
      <c r="O453" s="120">
        <v>2.23</v>
      </c>
      <c r="P453" s="121">
        <v>2.57</v>
      </c>
      <c r="Q453" s="286">
        <v>0</v>
      </c>
      <c r="R453" s="143">
        <f>(Q453/12*2*$E453*$G453*((1-$L453)+$L453*$M453*$R$11*$H453))+(Q453/12*10*$F453*$G453*((1-$L453)+$L453*$M453*$R$11*$H453))</f>
        <v>0</v>
      </c>
      <c r="S453" s="157"/>
      <c r="T453" s="144">
        <f>(S453/12*2*$E453*$G453*((1-$L453)+$L453*$M453*$R$11*$H453))+(S453/12*10*$F453*$G453*((1-$L453)+$L453*$M453*$R$11*$H453))</f>
        <v>0</v>
      </c>
      <c r="U453" s="143"/>
      <c r="V453" s="143">
        <f>(U453/12*2*$E453*$G453*((1-$L453)+$L453*$M453*V$11*$H453))+(U453/12*10*$F453*$G453*((1-$L453)+$L453*$M453*V$12*$H453))</f>
        <v>0</v>
      </c>
      <c r="W453" s="123"/>
      <c r="X453" s="143">
        <f>(W453/12*2*$E453*$G453*((1-$L453)+$L453*$M453*$X$11*$H453))+(W453/12*10*$F453*$G453*((1-$L453)+$L453*$M453*$X$12*$H453))</f>
        <v>0</v>
      </c>
      <c r="Y453" s="123"/>
      <c r="Z453" s="143">
        <f>(Y453/12*2*$E453*$G453*((1-$L453)+$L453*$M453*$Z$11*$H453))+(Y453/12*10*$F453*$G453*((1-$L453)+$L453*$M453*$Z$12*$H453))</f>
        <v>0</v>
      </c>
      <c r="AA453" s="123"/>
      <c r="AB453" s="143">
        <f>(AA453/12*2*$E453*$G453*((1-$L453)+$L453*$M453*$AB$11*$H453))+(AA453/12*10*$F453*$G453*((1-$L453)+$L453*$M453*$AB$11*$H453))</f>
        <v>0</v>
      </c>
      <c r="AC453" s="123"/>
      <c r="AD453" s="123"/>
      <c r="AE453" s="123"/>
      <c r="AF453" s="143">
        <f>(AE453/12*2*$E453*$G453*((1-$L453)+$L453*$M453*AF$11*$H453))+(AE453/12*10*$F453*$G453*((1-$L453)+$L453*$M453*AF$11*$H453))</f>
        <v>0</v>
      </c>
      <c r="AG453" s="123">
        <v>0</v>
      </c>
      <c r="AH453" s="143">
        <f>(AG453/12*2*$E453*$G453*((1-$L453)+$L453*$H453*AH$11*$M453))+(AG453/12*10*$F453*$G453*((1-$L453)+$L453*$H453*AH$11*$M453))</f>
        <v>0</v>
      </c>
      <c r="AI453" s="123"/>
      <c r="AJ453" s="143">
        <f t="shared" si="603"/>
        <v>0</v>
      </c>
      <c r="AK453" s="123"/>
      <c r="AL453" s="143">
        <f t="shared" si="604"/>
        <v>0</v>
      </c>
      <c r="AM453" s="132"/>
      <c r="AN453" s="143">
        <f>(AM453/12*2*$E453*$G453*((1-$L453)+$L453*$N453*$AN$11*H453))+(AM453/12*10*$F453*$G453*((1-$L453)+$L453*$N453*$AN$12*H453))</f>
        <v>0</v>
      </c>
      <c r="AO453" s="130"/>
      <c r="AP453" s="143">
        <f>(AO453/12*2*$E453*$G453*((1-$L453)+$L453*$H453*AP$11*$N453))+(AO453/12*10*$F453*$G453*((1-$L453)+$L453*$H453*AP$11*$N453))</f>
        <v>0</v>
      </c>
      <c r="AQ453" s="143"/>
      <c r="AR453" s="143"/>
      <c r="AS453" s="123"/>
      <c r="AT453" s="123"/>
      <c r="AU453" s="123"/>
      <c r="AV453" s="123"/>
      <c r="AW453" s="123"/>
      <c r="AX453" s="143">
        <f>(AW453/12*2*$E453*$G453*((1-$L453)+$L453*$H453*AX$11*$M453))+(AW453/12*10*$F453*$G453*((1-$L453)+$L453*$H453*AX$12*$M453))</f>
        <v>0</v>
      </c>
      <c r="AY453" s="123">
        <v>0</v>
      </c>
      <c r="AZ453" s="143">
        <f>(AY453/12*2*$E453*$G453*((1-$L453)+$L453*$N453*$H453*$AZ$11))+(AY453/12*10*$F453*$G453*((1-$L453)+$L453*$N453*$H453*$AZ$11))</f>
        <v>0</v>
      </c>
      <c r="BA453" s="123"/>
      <c r="BB453" s="143">
        <f>(BA453/12*2*$E453*$G453*((1-$L453)+$L453*$H453*BB$11*$N453))+(BA453/12*10*$F453*$G453*((1-$L453)+$L453*$H453*BB$12*$N453))</f>
        <v>0</v>
      </c>
      <c r="BC453" s="123"/>
      <c r="BD453" s="146">
        <f t="shared" si="602"/>
        <v>0</v>
      </c>
      <c r="BE453" s="123"/>
      <c r="BF453" s="143">
        <f>(BE453/12*2*$E453*$G453*((1-$L453)+$L453*$H453*BF$11*$N453))+(BE453/12*10*$F453*$G453*((1-$L453)+$L453*$H453*BF$12*$N453))</f>
        <v>0</v>
      </c>
      <c r="BG453" s="123"/>
      <c r="BH453" s="143">
        <f>(BG453/12*2*$E453*$G453*((1-$L453)+$L453*$H453*BH$11*$N453))+(BG453/12*10*$F453*$G453*((1-$L453)+$L453*$H453*BH$11*$N453))</f>
        <v>0</v>
      </c>
      <c r="BI453" s="123"/>
      <c r="BJ453" s="143">
        <f>(BI453/12*2*$E453*$G453*((1-$L453)+$L453*$H453*BJ$11*$N453))+(BI453/12*10*$F453*$G453*((1-$L453)+$L453*$H453*BJ$11*$N453))</f>
        <v>0</v>
      </c>
      <c r="BK453" s="123"/>
      <c r="BL453" s="143">
        <f>(BK453/12*2*$E453*$G453*((1-$L453)+$L453*$H453*BL$11*$N453))+(BK453/12*10*$F453*$G453*((1-$L453)+$L453*$H453*BL$11*$N453))</f>
        <v>0</v>
      </c>
      <c r="BM453" s="123"/>
      <c r="BN453" s="143">
        <f>(BM453/12*2*$E453*$G453*((1-$L453)+$L453*$H453*BN$11*$M453))+(BM453/12*10*$F453*$G453*((1-$L453)+$L453*$H453*BN$11*$M453))</f>
        <v>0</v>
      </c>
      <c r="BO453" s="123"/>
      <c r="BP453" s="143">
        <f>(BO453/12*2*$E453*$G453*((1-$L453)+$L453*$H453*BP$11*$M453))+(BO453/12*10*$F453*$G453*((1-$L453)+$L453*$H453*BP$12*$M453))</f>
        <v>0</v>
      </c>
      <c r="BQ453" s="123"/>
      <c r="BR453" s="123"/>
      <c r="BS453" s="123"/>
      <c r="BT453" s="143">
        <f>(BS453/12*2*$E453*$G453*((1-$L453)+$L453*$H453*BT$11*$N453))+(BS453/12*10*$F453*$G453*((1-$L453)+$L453*$H453*BT$11*$N453))</f>
        <v>0</v>
      </c>
      <c r="BU453" s="123"/>
      <c r="BV453" s="123"/>
      <c r="BW453" s="123"/>
      <c r="BX453" s="143">
        <f>(BW453/12*2*$E453*$G453*((1-$L453)+$L453*$H453*BX$11*$M453))+(BW453/12*10*$F453*$G453*((1-$L453)+$L453*$H453*BX$11*$M453))</f>
        <v>0</v>
      </c>
      <c r="BY453" s="123"/>
      <c r="BZ453" s="143">
        <f>(BY453/12*2*$E453*$G453*((1-$L453)+$L453*$H453*BZ$11*$M453))+(BY453/12*10*$F453*$G453*((1-$L453)+$L453*$H453*BZ$11*$M453))</f>
        <v>0</v>
      </c>
      <c r="CA453" s="123"/>
      <c r="CB453" s="143">
        <f>(CA453/12*2*$E453*$G453*((1-$L453)+$L453*$H453*CB$11*$M453))+(CA453/12*10*$F453*$G453*((1-$L453)+$L453*$H453*CB$11*$M453))</f>
        <v>0</v>
      </c>
      <c r="CC453" s="123"/>
      <c r="CD453" s="146">
        <f>(CC453/12*2*$E453*$G453*((1-$L453)+$L453*$M453*$CD$11*$H453))+(CC453/12*10*$F453*$G453*((1-$L453)+$L453*$M453*$CD$11*$H453))</f>
        <v>0</v>
      </c>
      <c r="CE453" s="123"/>
      <c r="CF453" s="143">
        <f>(CE453/12*10*$F453*$G453*((1-$L453)+$L453*$H453*CF$11*$N453))</f>
        <v>0</v>
      </c>
      <c r="CG453" s="132"/>
      <c r="CH453" s="143">
        <f>(CG453/12*2*$E453*$G453*((1-$L453)+$L453*$H453*CH$11*$N453))+(CG453/12*10*$F453*$G453*((1-$L453)+$L453*$H453*CH$11*$N453))</f>
        <v>0</v>
      </c>
      <c r="CI453" s="123"/>
      <c r="CJ453" s="127"/>
      <c r="CK453" s="123"/>
      <c r="CL453" s="123"/>
      <c r="CM453" s="130"/>
      <c r="CN453" s="143">
        <f>((CM453/12*2*$E453*$G453*((1-$L453)+$L453*$H453*CN$11*$N453)))+((CM453/12*10*$F453*$G453*((1-$L453)+$L453*$H453*CN$11*$N453)))</f>
        <v>0</v>
      </c>
      <c r="CO453" s="123"/>
      <c r="CP453" s="143">
        <f>(CO453/12*2*$E453*$G453*((1-$L453)+$L453*$H453*CP$11*$N453))+(CO453/12*10*$F453*$G453*((1-$L453)+$L453*$H453*CP$11*$N453))</f>
        <v>0</v>
      </c>
      <c r="CQ453" s="123"/>
      <c r="CR453" s="143">
        <f>(CQ453/12*2*$E453*$G453*((1-$L453)+$L453*$H453*CR$11*$O453))+(CQ453/12*10*$F453*$G453*((1-$L453)+$L453*$H453*CR$11*$O453))</f>
        <v>0</v>
      </c>
      <c r="CS453" s="123"/>
      <c r="CT453" s="143">
        <f>(CS453/12*2*$E453*$G453*((1-$L453)+$L453*$H453*CT$11*$P453))+(CS453/12*10*$F453*$G453*((1-$L453)+$L453*$H453*CT$11*$P453))</f>
        <v>0</v>
      </c>
      <c r="CU453" s="123"/>
      <c r="CV453" s="127"/>
      <c r="CW453" s="126">
        <f t="shared" si="601"/>
        <v>0</v>
      </c>
      <c r="CX453" s="126">
        <f t="shared" si="601"/>
        <v>0</v>
      </c>
    </row>
    <row r="454" spans="1:102" ht="45" customHeight="1" x14ac:dyDescent="0.25">
      <c r="A454" s="91"/>
      <c r="B454" s="116">
        <v>376</v>
      </c>
      <c r="C454" s="117" t="s">
        <v>1026</v>
      </c>
      <c r="D454" s="241" t="s">
        <v>1027</v>
      </c>
      <c r="E454" s="95">
        <v>28004</v>
      </c>
      <c r="F454" s="96">
        <v>29405</v>
      </c>
      <c r="G454" s="107">
        <v>2.91</v>
      </c>
      <c r="H454" s="107">
        <v>1</v>
      </c>
      <c r="I454" s="108"/>
      <c r="J454" s="108"/>
      <c r="K454" s="108"/>
      <c r="L454" s="142">
        <v>6.6100000000000006E-2</v>
      </c>
      <c r="M454" s="120">
        <v>1.4</v>
      </c>
      <c r="N454" s="120">
        <v>1.68</v>
      </c>
      <c r="O454" s="120">
        <v>2.23</v>
      </c>
      <c r="P454" s="121">
        <v>2.57</v>
      </c>
      <c r="Q454" s="286">
        <v>0</v>
      </c>
      <c r="R454" s="143">
        <f>(Q454/12*2*$E454*$G454*((1-$L454)+$L454*$M454*$R$11*$H454))+(Q454/12*10*$F454*$G454*((1-$L454)+$L454*$M454*$R$11*$H454))</f>
        <v>0</v>
      </c>
      <c r="S454" s="157"/>
      <c r="T454" s="144">
        <f>(S454/12*2*$E454*$G454*((1-$L454)+$L454*$M454*$R$11*$H454))+(S454/12*10*$F454*$G454*((1-$L454)+$L454*$M454*$R$11*$H454))</f>
        <v>0</v>
      </c>
      <c r="U454" s="143"/>
      <c r="V454" s="143">
        <f>(U454/12*2*$E454*$G454*((1-$L454)+$L454*$M454*V$11*$H454))+(U454/12*10*$F454*$G454*((1-$L454)+$L454*$M454*V$12*$H454))</f>
        <v>0</v>
      </c>
      <c r="W454" s="123"/>
      <c r="X454" s="143">
        <f>(W454/12*2*$E454*$G454*((1-$L454)+$L454*$M454*$X$11*$H454))+(W454/12*10*$F454*$G454*((1-$L454)+$L454*$M454*$X$12*$H454))</f>
        <v>0</v>
      </c>
      <c r="Y454" s="123"/>
      <c r="Z454" s="143">
        <f>(Y454/12*2*$E454*$G454*((1-$L454)+$L454*$M454*$Z$11*$H454))+(Y454/12*10*$F454*$G454*((1-$L454)+$L454*$M454*$Z$12*$H454))</f>
        <v>0</v>
      </c>
      <c r="AA454" s="123"/>
      <c r="AB454" s="143">
        <f>(AA454/12*2*$E454*$G454*((1-$L454)+$L454*$M454*$AB$11*$H454))+(AA454/12*10*$F454*$G454*((1-$L454)+$L454*$M454*$AB$11*$H454))</f>
        <v>0</v>
      </c>
      <c r="AC454" s="123"/>
      <c r="AD454" s="123"/>
      <c r="AE454" s="123"/>
      <c r="AF454" s="143">
        <f>(AE454/12*2*$E454*$G454*((1-$L454)+$L454*$M454*AF$11*$H454))+(AE454/12*10*$F454*$G454*((1-$L454)+$L454*$M454*AF$11*$H454))</f>
        <v>0</v>
      </c>
      <c r="AG454" s="123">
        <v>0</v>
      </c>
      <c r="AH454" s="143">
        <f>(AG454/12*2*$E454*$G454*((1-$L454)+$L454*$H454*AH$11*$M454))+(AG454/12*10*$F454*$G454*((1-$L454)+$L454*$H454*AH$11*$M454))</f>
        <v>0</v>
      </c>
      <c r="AI454" s="123"/>
      <c r="AJ454" s="143">
        <f t="shared" si="603"/>
        <v>0</v>
      </c>
      <c r="AK454" s="123"/>
      <c r="AL454" s="143">
        <f t="shared" si="604"/>
        <v>0</v>
      </c>
      <c r="AM454" s="132"/>
      <c r="AN454" s="143">
        <f>(AM454/12*2*$E454*$G454*((1-$L454)+$L454*$N454*$AN$11*H454))+(AM454/12*10*$F454*$G454*((1-$L454)+$L454*$N454*$AN$12*H454))</f>
        <v>0</v>
      </c>
      <c r="AO454" s="130"/>
      <c r="AP454" s="143">
        <f>(AO454/12*2*$E454*$G454*((1-$L454)+$L454*$H454*AP$11*$N454))+(AO454/12*10*$F454*$G454*((1-$L454)+$L454*$H454*AP$11*$N454))</f>
        <v>0</v>
      </c>
      <c r="AQ454" s="143"/>
      <c r="AR454" s="143"/>
      <c r="AS454" s="123"/>
      <c r="AT454" s="123"/>
      <c r="AU454" s="123"/>
      <c r="AV454" s="123"/>
      <c r="AW454" s="123"/>
      <c r="AX454" s="143">
        <f>(AW454/12*2*$E454*$G454*((1-$L454)+$L454*$H454*AX$11*$M454))+(AW454/12*10*$F454*$G454*((1-$L454)+$L454*$H454*AX$12*$M454))</f>
        <v>0</v>
      </c>
      <c r="AY454" s="123">
        <v>0</v>
      </c>
      <c r="AZ454" s="143">
        <f>(AY454/12*2*$E454*$G454*((1-$L454)+$L454*$N454*$H454*$AZ$11))+(AY454/12*10*$F454*$G454*((1-$L454)+$L454*$N454*$H454*$AZ$11))</f>
        <v>0</v>
      </c>
      <c r="BA454" s="123"/>
      <c r="BB454" s="143">
        <f>(BA454/12*2*$E454*$G454*((1-$L454)+$L454*$H454*BB$11*$N454))+(BA454/12*10*$F454*$G454*((1-$L454)+$L454*$H454*BB$12*$N454))</f>
        <v>0</v>
      </c>
      <c r="BC454" s="123"/>
      <c r="BD454" s="146">
        <f t="shared" si="602"/>
        <v>0</v>
      </c>
      <c r="BE454" s="123"/>
      <c r="BF454" s="143">
        <f>(BE454/12*2*$E454*$G454*((1-$L454)+$L454*$H454*BF$11*$N454))+(BE454/12*10*$F454*$G454*((1-$L454)+$L454*$H454*BF$12*$N454))</f>
        <v>0</v>
      </c>
      <c r="BG454" s="123"/>
      <c r="BH454" s="143">
        <f>(BG454/12*2*$E454*$G454*((1-$L454)+$L454*$H454*BH$11*$N454))+(BG454/12*10*$F454*$G454*((1-$L454)+$L454*$H454*BH$11*$N454))</f>
        <v>0</v>
      </c>
      <c r="BI454" s="123"/>
      <c r="BJ454" s="143">
        <f>(BI454/12*2*$E454*$G454*((1-$L454)+$L454*$H454*BJ$11*$N454))+(BI454/12*10*$F454*$G454*((1-$L454)+$L454*$H454*BJ$11*$N454))</f>
        <v>0</v>
      </c>
      <c r="BK454" s="123"/>
      <c r="BL454" s="143">
        <f>(BK454/12*2*$E454*$G454*((1-$L454)+$L454*$H454*BL$11*$N454))+(BK454/12*10*$F454*$G454*((1-$L454)+$L454*$H454*BL$11*$N454))</f>
        <v>0</v>
      </c>
      <c r="BM454" s="123"/>
      <c r="BN454" s="143">
        <f>(BM454/12*2*$E454*$G454*((1-$L454)+$L454*$H454*BN$11*$M454))+(BM454/12*10*$F454*$G454*((1-$L454)+$L454*$H454*BN$11*$M454))</f>
        <v>0</v>
      </c>
      <c r="BO454" s="123"/>
      <c r="BP454" s="143">
        <f>(BO454/12*2*$E454*$G454*((1-$L454)+$L454*$H454*BP$11*$M454))+(BO454/12*10*$F454*$G454*((1-$L454)+$L454*$H454*BP$12*$M454))</f>
        <v>0</v>
      </c>
      <c r="BQ454" s="123"/>
      <c r="BR454" s="123"/>
      <c r="BS454" s="123"/>
      <c r="BT454" s="143">
        <f>(BS454/12*2*$E454*$G454*((1-$L454)+$L454*$H454*BT$11*$N454))+(BS454/12*10*$F454*$G454*((1-$L454)+$L454*$H454*BT$11*$N454))</f>
        <v>0</v>
      </c>
      <c r="BU454" s="123"/>
      <c r="BV454" s="123"/>
      <c r="BW454" s="123"/>
      <c r="BX454" s="143">
        <f>(BW454/12*2*$E454*$G454*((1-$L454)+$L454*$H454*BX$11*$M454))+(BW454/12*10*$F454*$G454*((1-$L454)+$L454*$H454*BX$11*$M454))</f>
        <v>0</v>
      </c>
      <c r="BY454" s="123"/>
      <c r="BZ454" s="143">
        <f>(BY454/12*2*$E454*$G454*((1-$L454)+$L454*$H454*BZ$11*$M454))+(BY454/12*10*$F454*$G454*((1-$L454)+$L454*$H454*BZ$11*$M454))</f>
        <v>0</v>
      </c>
      <c r="CA454" s="123"/>
      <c r="CB454" s="143">
        <f>(CA454/12*2*$E454*$G454*((1-$L454)+$L454*$H454*CB$11*$M454))+(CA454/12*10*$F454*$G454*((1-$L454)+$L454*$H454*CB$11*$M454))</f>
        <v>0</v>
      </c>
      <c r="CC454" s="123"/>
      <c r="CD454" s="146">
        <f>(CC454/12*2*$E454*$G454*((1-$L454)+$L454*$M454*$CD$11*$H454))+(CC454/12*10*$F454*$G454*((1-$L454)+$L454*$M454*$CD$11*$H454))</f>
        <v>0</v>
      </c>
      <c r="CE454" s="123"/>
      <c r="CF454" s="143">
        <f>(CE454/12*10*$F454*$G454*((1-$L454)+$L454*$H454*CF$11*$N454))</f>
        <v>0</v>
      </c>
      <c r="CG454" s="132"/>
      <c r="CH454" s="143">
        <f>(CG454/12*2*$E454*$G454*((1-$L454)+$L454*$H454*CH$11*$N454))+(CG454/12*10*$F454*$G454*((1-$L454)+$L454*$H454*CH$11*$N454))</f>
        <v>0</v>
      </c>
      <c r="CI454" s="123"/>
      <c r="CJ454" s="127"/>
      <c r="CK454" s="123"/>
      <c r="CL454" s="123"/>
      <c r="CM454" s="130"/>
      <c r="CN454" s="143">
        <f>((CM454/12*2*$E454*$G454*((1-$L454)+$L454*$H454*CN$11*$N454)))+((CM454/12*10*$F454*$G454*((1-$L454)+$L454*$H454*CN$11*$N454)))</f>
        <v>0</v>
      </c>
      <c r="CO454" s="123"/>
      <c r="CP454" s="143">
        <f>(CO454/12*2*$E454*$G454*((1-$L454)+$L454*$H454*CP$11*$N454))+(CO454/12*10*$F454*$G454*((1-$L454)+$L454*$H454*CP$11*$N454))</f>
        <v>0</v>
      </c>
      <c r="CQ454" s="123"/>
      <c r="CR454" s="143">
        <f>(CQ454/12*2*$E454*$G454*((1-$L454)+$L454*$H454*CR$11*$O454))+(CQ454/12*10*$F454*$G454*((1-$L454)+$L454*$H454*CR$11*$O454))</f>
        <v>0</v>
      </c>
      <c r="CS454" s="123"/>
      <c r="CT454" s="143">
        <f>(CS454/12*2*$E454*$G454*((1-$L454)+$L454*$H454*CT$11*$P454))+(CS454/12*10*$F454*$G454*((1-$L454)+$L454*$H454*CT$11*$P454))</f>
        <v>0</v>
      </c>
      <c r="CU454" s="123"/>
      <c r="CV454" s="127"/>
      <c r="CW454" s="126">
        <f t="shared" si="601"/>
        <v>0</v>
      </c>
      <c r="CX454" s="126">
        <f t="shared" si="601"/>
        <v>0</v>
      </c>
    </row>
    <row r="455" spans="1:102" ht="45" customHeight="1" x14ac:dyDescent="0.25">
      <c r="A455" s="91"/>
      <c r="B455" s="116">
        <v>377</v>
      </c>
      <c r="C455" s="117" t="s">
        <v>1028</v>
      </c>
      <c r="D455" s="161" t="s">
        <v>1029</v>
      </c>
      <c r="E455" s="95">
        <v>28004</v>
      </c>
      <c r="F455" s="96">
        <v>29405</v>
      </c>
      <c r="G455" s="119">
        <v>0.46</v>
      </c>
      <c r="H455" s="107">
        <v>1</v>
      </c>
      <c r="I455" s="108"/>
      <c r="J455" s="108"/>
      <c r="K455" s="108"/>
      <c r="L455" s="63"/>
      <c r="M455" s="120">
        <v>1.4</v>
      </c>
      <c r="N455" s="120">
        <v>1.68</v>
      </c>
      <c r="O455" s="120">
        <v>2.23</v>
      </c>
      <c r="P455" s="121">
        <v>2.57</v>
      </c>
      <c r="Q455" s="286">
        <v>0</v>
      </c>
      <c r="R455" s="123">
        <f>(Q455/12*2*$E455*$G455*$H455*$M455*$R$11)+(Q455/12*10*$F455*$G455*$H455*$M455*$R$11)</f>
        <v>0</v>
      </c>
      <c r="S455" s="124"/>
      <c r="T455" s="125">
        <f>(S455/12*2*$E455*$G455*$H455*$M455*$R$11)+(S455/12*10*$F455*$G455*$H455*$M455*$R$11)</f>
        <v>0</v>
      </c>
      <c r="U455" s="123"/>
      <c r="V455" s="123">
        <f>(U455/12*2*$E455*$G455*$H455*$M455*$V$11)+(U455/12*10*$F455*$G455*$H455*$M455*$V$12)</f>
        <v>0</v>
      </c>
      <c r="W455" s="123"/>
      <c r="X455" s="126">
        <f>(W455/12*2*$E455*$G455*$H455*$M455*$X$11)+(W455/12*10*$F455*$G455*$H455*$M455*$X$12)</f>
        <v>0</v>
      </c>
      <c r="Y455" s="123"/>
      <c r="Z455" s="123">
        <f>(Y455/12*2*$E455*$G455*$H455*$M455*$Z$11)+(Y455/12*10*$F455*$G455*$H455*$M455*$Z$12)</f>
        <v>0</v>
      </c>
      <c r="AA455" s="123"/>
      <c r="AB455" s="123">
        <f>(AA455/12*2*$E455*$G455*$H455*$M455*$AB$11)+(AA455/12*10*$F455*$G455*$H455*$M455*$AB$11)</f>
        <v>0</v>
      </c>
      <c r="AC455" s="123"/>
      <c r="AD455" s="123"/>
      <c r="AE455" s="123"/>
      <c r="AF455" s="123">
        <f>(AE455/12*2*$E455*$G455*$H455*$M455*$AF$11)+(AE455/12*10*$F455*$G455*$H455*$M455*$AF$11)</f>
        <v>0</v>
      </c>
      <c r="AG455" s="123">
        <v>0</v>
      </c>
      <c r="AH455" s="126">
        <f>(AG455/12*2*$E455*$G455*$H455*$M455*$AH$11)+(AG455/12*10*$F455*$G455*$H455*$M455*$AH$11)</f>
        <v>0</v>
      </c>
      <c r="AI455" s="123"/>
      <c r="AJ455" s="123">
        <f t="shared" ref="AJ455:AJ456" si="605">(AI455/12*2*$E455*$G455*$H455*$M455*$AJ$11)+(AI455/12*5*$F455*$G455*$H455*$M455*$AJ$12)+(AI455/12*5*$F455*$G455*$H455*$M455*$AJ$13)</f>
        <v>0</v>
      </c>
      <c r="AK455" s="123"/>
      <c r="AL455" s="123">
        <f t="shared" ref="AL455:AL456" si="606">(AK455/12*2*$E455*$G455*$H455*$N455*$AL$11)+(AK455/12*5*$F455*$G455*$H455*$N455*$AL$12)++(AK455/12*5*$F455*$G455*$H455*$N455*$AL$13)</f>
        <v>0</v>
      </c>
      <c r="AM455" s="132"/>
      <c r="AN455" s="123">
        <f>(AM455/12*2*$E455*$G455*$H455*$N455*$AN$11)+(AM455/12*10*$F455*$G455*$H455*$N455*$AN$12)</f>
        <v>0</v>
      </c>
      <c r="AO455" s="130"/>
      <c r="AP455" s="127">
        <f>(AO455/12*2*$E455*$G455*$H455*$N455*$AP$11)+(AO455/12*10*$F455*$G455*$H455*$N455*$AP$11)</f>
        <v>0</v>
      </c>
      <c r="AQ455" s="127">
        <v>0</v>
      </c>
      <c r="AR455" s="127">
        <v>0</v>
      </c>
      <c r="AS455" s="123"/>
      <c r="AT455" s="123">
        <f>(AS455/12*2*$E455*$G455*$H455*$M455*$AT$11)+(AS455/12*10*$F455*$G455*$H455*$M455*$AT$11)</f>
        <v>0</v>
      </c>
      <c r="AU455" s="123"/>
      <c r="AV455" s="126">
        <f>(AU455/12*2*$E455*$G455*$H455*$M455*$AV$11)+(AU455/12*10*$F455*$G455*$H455*$M455*$AV$12)</f>
        <v>0</v>
      </c>
      <c r="AW455" s="123"/>
      <c r="AX455" s="123">
        <f>(AW455/12*2*$E455*$G455*$H455*$M455*$AX$11)+(AW455/12*10*$F455*$G455*$H455*$M455*$AX$12)</f>
        <v>0</v>
      </c>
      <c r="AY455" s="123">
        <v>0</v>
      </c>
      <c r="AZ455" s="123">
        <f>(AY455/12*2*$E455*$G455*$H455*$N455*$AZ$11)+(AY455/12*10*$F455*$G455*$H455*$N455*$AZ$11)</f>
        <v>0</v>
      </c>
      <c r="BA455" s="123"/>
      <c r="BB455" s="123">
        <f>(BA455/12*2*$E455*$G455*$H455*$N455*$BB$11)+(BA455/12*10*$F455*$G455*$H455*$N455*$BB$12)</f>
        <v>0</v>
      </c>
      <c r="BC455" s="123"/>
      <c r="BD455" s="126">
        <f t="shared" si="602"/>
        <v>0</v>
      </c>
      <c r="BE455" s="123"/>
      <c r="BF455" s="123">
        <f>(BE455/12*10*$F455*$G455*$H455*$N455*$BF$12)</f>
        <v>0</v>
      </c>
      <c r="BG455" s="123"/>
      <c r="BH455" s="123">
        <f>(BG455/12*2*$E455*$G455*$H455*$N455*$BH$11)+(BG455/12*10*$F455*$G455*$H455*$N455*$BH$11)</f>
        <v>0</v>
      </c>
      <c r="BI455" s="123"/>
      <c r="BJ455" s="126">
        <f>(BI455/12*2*$E455*$G455*$H455*$N455*$BJ$11)+(BI455/12*10*$F455*$G455*$H455*$N455*$BJ$11)</f>
        <v>0</v>
      </c>
      <c r="BK455" s="123"/>
      <c r="BL455" s="127">
        <f>(BK455/12*2*$E455*$G455*$H455*$N455*$BL$11)+(BK455/12*10*$F455*$G455*$H455*$N455*$BL$11)</f>
        <v>0</v>
      </c>
      <c r="BM455" s="123"/>
      <c r="BN455" s="123">
        <f>(BM455/12*2*$E455*$G455*$H455*$M455*$BN$11)+(BM455/12*10*$F455*$G455*$H455*$M455*$BN$11)</f>
        <v>0</v>
      </c>
      <c r="BO455" s="123"/>
      <c r="BP455" s="123">
        <f>(BO455/12*2*$E455*$G455*$H455*$M455*$BP$11)+(BO455/12*10*$F455*$G455*$H455*$M455*$BP$12)</f>
        <v>0</v>
      </c>
      <c r="BQ455" s="123"/>
      <c r="BR455" s="123">
        <f>(BQ455/12*2*$E455*$G455*$H455*$M455*$BR$11)+(BQ455/12*10*$F455*$G455*$H455*$M455*$BR$11)</f>
        <v>0</v>
      </c>
      <c r="BS455" s="123"/>
      <c r="BT455" s="123">
        <f>(BS455/12*2*$E455*$G455*$H455*$N455*$BT$11)+(BS455/12*10*$F455*$G455*$H455*$N455*$BT$11)</f>
        <v>0</v>
      </c>
      <c r="BU455" s="123"/>
      <c r="BV455" s="126">
        <f>(BU455/12*2*$E455*$G455*$H455*$M455*$BV$11)+(BU455/12*10*$F455*$G455*$H455*$M455*$BV$11)</f>
        <v>0</v>
      </c>
      <c r="BW455" s="123"/>
      <c r="BX455" s="123">
        <f>(BW455/12*2*$E455*$G455*$H455*$M455*$BX$11)+(BW455/12*10*$F455*$G455*$H455*$M455*$BX$11)</f>
        <v>0</v>
      </c>
      <c r="BY455" s="123"/>
      <c r="BZ455" s="123">
        <f>(BY455/12*2*$E455*$G455*$H455*$M455*$BZ$11)+(BY455/12*10*$F455*$G455*$H455*$M455*$BZ$11)</f>
        <v>0</v>
      </c>
      <c r="CA455" s="123"/>
      <c r="CB455" s="123">
        <f>(CA455/12*2*$E455*$G455*$H455*$M455*$CB$11)+(CA455/12*10*$F455*$G455*$H455*$M455*$CB$11)</f>
        <v>0</v>
      </c>
      <c r="CC455" s="123"/>
      <c r="CD455" s="123">
        <f>(CC455/12*2*$E455*$G455*$H455*$M455*$CD$11)+(CC455/12*10*$F455*$G455*$H455*$M455*$CD$11)</f>
        <v>0</v>
      </c>
      <c r="CE455" s="123"/>
      <c r="CF455" s="123">
        <f>(CE455/12*10*$F455*$G455*$H455*$N455*$CF$11)</f>
        <v>0</v>
      </c>
      <c r="CG455" s="132"/>
      <c r="CH455" s="123">
        <f>(CG455/12*2*$E455*$G455*$H455*$N455*$CH$11)+(CG455/12*10*$F455*$G455*$H455*$N455*$CH$11)</f>
        <v>0</v>
      </c>
      <c r="CI455" s="123"/>
      <c r="CJ455" s="127"/>
      <c r="CK455" s="123"/>
      <c r="CL455" s="123">
        <f>(CK455/12*2*$E455*$G455*$H455*$N455*$CL$11)+(CK455/12*10*$F455*$G455*$H455*$N455*$CL$12)</f>
        <v>0</v>
      </c>
      <c r="CM455" s="130"/>
      <c r="CN455" s="123">
        <f>(CM455/12*2*$E455*$G455*$H455*$N455*$CN$11)+(CM455/12*10*$F455*$G455*$H455*$N455*$CN$11)</f>
        <v>0</v>
      </c>
      <c r="CO455" s="123"/>
      <c r="CP455" s="123">
        <f>(CO455/12*2*$E455*$G455*$H455*$N455*$CP$11)+(CO455/12*10*$F455*$G455*$H455*$N455*$CP$11)</f>
        <v>0</v>
      </c>
      <c r="CQ455" s="123"/>
      <c r="CR455" s="123">
        <f>(CQ455/12*2*$E455*$G455*$H455*$O455*$CR$11)+(CQ455/12*10*$F455*$G455*$H455*$O455*$CR$11)</f>
        <v>0</v>
      </c>
      <c r="CS455" s="123"/>
      <c r="CT455" s="133">
        <f>(CS455/12*2*$E455*$G455*$H455*$P455*$CT$11)+(CS455/12*10*$F455*$G455*$H455*$P455*$CT$11)</f>
        <v>0</v>
      </c>
      <c r="CU455" s="123"/>
      <c r="CV455" s="123">
        <f>(CU455*$E455*$G455*$H455*$M455*CV$11)/12*6+(CU455*$E455*$G455*$H455*1*CV$11)/12*6</f>
        <v>0</v>
      </c>
      <c r="CW455" s="126">
        <f t="shared" si="601"/>
        <v>0</v>
      </c>
      <c r="CX455" s="126">
        <f t="shared" si="601"/>
        <v>0</v>
      </c>
    </row>
    <row r="456" spans="1:102" ht="30" customHeight="1" x14ac:dyDescent="0.25">
      <c r="A456" s="91"/>
      <c r="B456" s="116">
        <v>378</v>
      </c>
      <c r="C456" s="117" t="s">
        <v>1030</v>
      </c>
      <c r="D456" s="161" t="s">
        <v>1031</v>
      </c>
      <c r="E456" s="95">
        <v>28004</v>
      </c>
      <c r="F456" s="96">
        <v>29405</v>
      </c>
      <c r="G456" s="107">
        <v>8.4</v>
      </c>
      <c r="H456" s="107">
        <v>1</v>
      </c>
      <c r="I456" s="108"/>
      <c r="J456" s="108"/>
      <c r="K456" s="108"/>
      <c r="L456" s="63"/>
      <c r="M456" s="120">
        <v>1.4</v>
      </c>
      <c r="N456" s="120">
        <v>1.68</v>
      </c>
      <c r="O456" s="120">
        <v>2.23</v>
      </c>
      <c r="P456" s="121">
        <v>2.57</v>
      </c>
      <c r="Q456" s="286">
        <v>31</v>
      </c>
      <c r="R456" s="123">
        <f>(Q456/12*2*$E456*$G456*$H456*$M456*$R$11)+(Q456/12*10*$F456*$G456*$H456*$M456*$R$11)</f>
        <v>11698238.244000001</v>
      </c>
      <c r="S456" s="124"/>
      <c r="T456" s="125">
        <f>(S456/12*2*$E456*$G456*$H456*$M456*$R$11)+(S456/12*10*$F456*$G456*$H456*$M456*$R$11)</f>
        <v>0</v>
      </c>
      <c r="U456" s="123">
        <v>3</v>
      </c>
      <c r="V456" s="123">
        <f>(U456/12*2*$E456*$G456*$H456*$M456*$V$11)+(U456/12*10*$F456*$G456*$H456*$M456*$V$12)</f>
        <v>1380323.2379999999</v>
      </c>
      <c r="W456" s="123"/>
      <c r="X456" s="126">
        <f>(W456/12*2*$E456*$G456*$H456*$M456*$X$11)+(W456/12*10*$F456*$G456*$H456*$M456*$X$12)</f>
        <v>0</v>
      </c>
      <c r="Y456" s="123"/>
      <c r="Z456" s="123">
        <f>(Y456/12*2*$E456*$G456*$H456*$M456*$Z$11)+(Y456/12*10*$F456*$G456*$H456*$M456*$Z$12)</f>
        <v>0</v>
      </c>
      <c r="AA456" s="123"/>
      <c r="AB456" s="123">
        <f>(AA456/12*2*$E456*$G456*$H456*$M456*$AB$11)+(AA456/12*10*$F456*$G456*$H456*$M456*$AB$11)</f>
        <v>0</v>
      </c>
      <c r="AC456" s="123"/>
      <c r="AD456" s="123"/>
      <c r="AE456" s="123"/>
      <c r="AF456" s="123">
        <f>(AE456/12*2*$E456*$G456*$H456*$M456*$AF$11)+(AE456/12*10*$F456*$G456*$H456*$M456*$AF$11)</f>
        <v>0</v>
      </c>
      <c r="AG456" s="123">
        <v>0</v>
      </c>
      <c r="AH456" s="126">
        <f>(AG456/12*2*$E456*$G456*$H456*$M456*$AH$11)+(AG456/12*10*$F456*$G456*$H456*$M456*$AH$11)</f>
        <v>0</v>
      </c>
      <c r="AI456" s="123"/>
      <c r="AJ456" s="123">
        <f t="shared" si="605"/>
        <v>0</v>
      </c>
      <c r="AK456" s="123"/>
      <c r="AL456" s="123">
        <f t="shared" si="606"/>
        <v>0</v>
      </c>
      <c r="AM456" s="132"/>
      <c r="AN456" s="123">
        <f>(AM456/12*2*$E456*$G456*$H456*$N456*$AN$11)+(AM456/12*10*$F456*$G456*$H456*$N456*$AN$12)</f>
        <v>0</v>
      </c>
      <c r="AO456" s="130"/>
      <c r="AP456" s="127">
        <f>(AO456/12*2*$E456*$G456*$H456*$N456*$AP$11)+(AO456/12*10*$F456*$G456*$H456*$N456*$AP$11)</f>
        <v>0</v>
      </c>
      <c r="AQ456" s="127">
        <v>0</v>
      </c>
      <c r="AR456" s="127">
        <v>0</v>
      </c>
      <c r="AS456" s="123"/>
      <c r="AT456" s="123">
        <f>(AS456/12*2*$E456*$G456*$H456*$M456*$AT$11)+(AS456/12*10*$F456*$G456*$H456*$M456*$AT$11)</f>
        <v>0</v>
      </c>
      <c r="AU456" s="123"/>
      <c r="AV456" s="126">
        <f>(AU456/12*2*$E456*$G456*$H456*$M456*$AV$11)+(AU456/12*10*$F456*$G456*$H456*$M456*$AV$12)</f>
        <v>0</v>
      </c>
      <c r="AW456" s="123"/>
      <c r="AX456" s="123">
        <f>(AW456/12*2*$E456*$G456*$H456*$M456*$AX$11)+(AW456/12*10*$F456*$G456*$H456*$M456*$AX$12)</f>
        <v>0</v>
      </c>
      <c r="AY456" s="123">
        <v>0</v>
      </c>
      <c r="AZ456" s="123">
        <f>(AY456/12*2*$E456*$G456*$H456*$N456*$AZ$11)+(AY456/12*10*$F456*$G456*$H456*$N456*$AZ$11)</f>
        <v>0</v>
      </c>
      <c r="BA456" s="123">
        <v>10</v>
      </c>
      <c r="BB456" s="123">
        <f>(BA456/12*2*$E456*$G456*$H456*$N456*$BB$11)+(BA456/12*10*$F456*$G456*$H456*$N456*$BB$12)</f>
        <v>3978360.9600000004</v>
      </c>
      <c r="BC456" s="123"/>
      <c r="BD456" s="126">
        <f t="shared" si="602"/>
        <v>0</v>
      </c>
      <c r="BE456" s="123"/>
      <c r="BF456" s="123">
        <f>(BE456/12*10*$F456*$G456*$H456*$N456*$BF$12)</f>
        <v>0</v>
      </c>
      <c r="BG456" s="123"/>
      <c r="BH456" s="123">
        <f>(BG456/12*2*$E456*$G456*$H456*$N456*$BH$11)+(BG456/12*10*$F456*$G456*$H456*$N456*$BH$11)</f>
        <v>0</v>
      </c>
      <c r="BI456" s="123"/>
      <c r="BJ456" s="126">
        <f>(BI456/12*2*$E456*$G456*$H456*$N456*$BJ$11)+(BI456/12*10*$F456*$G456*$H456*$N456*$BJ$11)</f>
        <v>0</v>
      </c>
      <c r="BK456" s="123"/>
      <c r="BL456" s="127">
        <f>(BK456/12*2*$E456*$G456*$H456*$N456*$BL$11)+(BK456/12*10*$F456*$G456*$H456*$N456*$BL$11)</f>
        <v>0</v>
      </c>
      <c r="BM456" s="123"/>
      <c r="BN456" s="123">
        <f>(BM456/12*2*$E456*$G456*$H456*$M456*$BN$11)+(BM456/12*10*$F456*$G456*$H456*$M456*$BN$11)</f>
        <v>0</v>
      </c>
      <c r="BO456" s="123"/>
      <c r="BP456" s="123">
        <f>(BO456/12*2*$E456*$G456*$H456*$M456*$BP$11)+(BO456/12*10*$F456*$G456*$H456*$M456*$BP$12)</f>
        <v>0</v>
      </c>
      <c r="BQ456" s="123"/>
      <c r="BR456" s="123">
        <f>(BQ456/12*2*$E456*$G456*$H456*$M456*$BR$11)+(BQ456/12*10*$F456*$G456*$H456*$M456*$BR$11)</f>
        <v>0</v>
      </c>
      <c r="BS456" s="123"/>
      <c r="BT456" s="123">
        <f>(BS456/12*2*$E456*$G456*$H456*$N456*$BT$11)+(BS456/12*10*$F456*$G456*$H456*$N456*$BT$11)</f>
        <v>0</v>
      </c>
      <c r="BU456" s="123"/>
      <c r="BV456" s="126">
        <f>(BU456/12*2*$E456*$G456*$H456*$M456*$BV$11)+(BU456/12*10*$F456*$G456*$H456*$M456*$BV$11)</f>
        <v>0</v>
      </c>
      <c r="BW456" s="123"/>
      <c r="BX456" s="123">
        <f>(BW456/12*2*$E456*$G456*$H456*$M456*$BX$11)+(BW456/12*10*$F456*$G456*$H456*$M456*$BX$11)</f>
        <v>0</v>
      </c>
      <c r="BY456" s="123"/>
      <c r="BZ456" s="123">
        <f>(BY456/12*2*$E456*$G456*$H456*$M456*$BZ$11)+(BY456/12*10*$F456*$G456*$H456*$M456*$BZ$11)</f>
        <v>0</v>
      </c>
      <c r="CA456" s="123"/>
      <c r="CB456" s="123">
        <f>(CA456/12*2*$E456*$G456*$H456*$M456*$CB$11)+(CA456/12*10*$F456*$G456*$H456*$M456*$CB$11)</f>
        <v>0</v>
      </c>
      <c r="CC456" s="123"/>
      <c r="CD456" s="123">
        <f>(CC456/12*2*$E456*$G456*$H456*$M456*$CD$11)+(CC456/12*10*$F456*$G456*$H456*$M456*$CD$11)</f>
        <v>0</v>
      </c>
      <c r="CE456" s="123"/>
      <c r="CF456" s="123">
        <f>(CE456/12*10*$F456*$G456*$H456*$N456*$CF$11)</f>
        <v>0</v>
      </c>
      <c r="CG456" s="132"/>
      <c r="CH456" s="123">
        <f>(CG456/12*2*$E456*$G456*$H456*$N456*$CH$11)+(CG456/12*10*$F456*$G456*$H456*$N456*$CH$11)</f>
        <v>0</v>
      </c>
      <c r="CI456" s="123"/>
      <c r="CJ456" s="127"/>
      <c r="CK456" s="123"/>
      <c r="CL456" s="123">
        <f>(CK456/12*2*$E456*$G456*$H456*$N456*$CL$11)+(CK456/12*10*$F456*$G456*$H456*$N456*$CL$12)</f>
        <v>0</v>
      </c>
      <c r="CM456" s="130"/>
      <c r="CN456" s="123">
        <f>(CM456/12*2*$E456*$G456*$H456*$N456*$CN$11)+(CM456/12*10*$F456*$G456*$H456*$N456*$CN$11)</f>
        <v>0</v>
      </c>
      <c r="CO456" s="123"/>
      <c r="CP456" s="123">
        <f>(CO456/12*2*$E456*$G456*$H456*$N456*$CP$11)+(CO456/12*10*$F456*$G456*$H456*$N456*$CP$11)</f>
        <v>0</v>
      </c>
      <c r="CQ456" s="123"/>
      <c r="CR456" s="123">
        <f>(CQ456/12*2*$E456*$G456*$H456*$O456*$CR$11)+(CQ456/12*10*$F456*$G456*$H456*$O456*$CR$11)</f>
        <v>0</v>
      </c>
      <c r="CS456" s="123"/>
      <c r="CT456" s="133">
        <f>(CS456/12*2*$E456*$G456*$H456*$P456*$CT$11)+(CS456/12*10*$F456*$G456*$H456*$P456*$CT$11)</f>
        <v>0</v>
      </c>
      <c r="CU456" s="123"/>
      <c r="CV456" s="123">
        <f>(CU456*$E456*$G456*$H456*$M456*CV$11)/12*6+(CU456*$E456*$G456*$H456*1*CV$11)/12*6</f>
        <v>0</v>
      </c>
      <c r="CW456" s="126">
        <f t="shared" si="601"/>
        <v>44</v>
      </c>
      <c r="CX456" s="126">
        <f t="shared" si="601"/>
        <v>17056922.442000002</v>
      </c>
    </row>
    <row r="457" spans="1:102" ht="30" customHeight="1" x14ac:dyDescent="0.25">
      <c r="A457" s="91"/>
      <c r="B457" s="116">
        <v>379</v>
      </c>
      <c r="C457" s="117" t="s">
        <v>1032</v>
      </c>
      <c r="D457" s="161" t="s">
        <v>1033</v>
      </c>
      <c r="E457" s="95">
        <v>28004</v>
      </c>
      <c r="F457" s="96">
        <v>29405</v>
      </c>
      <c r="G457" s="119">
        <v>2.3199999999999998</v>
      </c>
      <c r="H457" s="107">
        <v>1</v>
      </c>
      <c r="I457" s="108"/>
      <c r="J457" s="108"/>
      <c r="K457" s="108"/>
      <c r="L457" s="63"/>
      <c r="M457" s="120">
        <v>1.4</v>
      </c>
      <c r="N457" s="120">
        <v>1.68</v>
      </c>
      <c r="O457" s="120">
        <v>2.23</v>
      </c>
      <c r="P457" s="121">
        <v>2.57</v>
      </c>
      <c r="Q457" s="286">
        <v>5</v>
      </c>
      <c r="R457" s="123">
        <f>(Q457/12*2*$E457*$G457*$H457*$M457)+(Q457/12*10*$F457*$G457*$H457*$M457)</f>
        <v>473745.16</v>
      </c>
      <c r="S457" s="124"/>
      <c r="T457" s="125">
        <f>(S457/12*2*$E457*$G457*$H457*$M457)+(S457/12*10*$F457*$G457*$H457*$M457)</f>
        <v>0</v>
      </c>
      <c r="U457" s="123"/>
      <c r="V457" s="123">
        <f>(U457/12*2*$E457*$G457*$H457*$M457)+(U457/12*10*$F457*$G457*$H457*$M457)</f>
        <v>0</v>
      </c>
      <c r="W457" s="123"/>
      <c r="X457" s="123">
        <f>(W457/12*2*$E457*$G457*$H457*$M457)+(W457/12*10*$F457*$G457*$H457*$M457)</f>
        <v>0</v>
      </c>
      <c r="Y457" s="123"/>
      <c r="Z457" s="123">
        <f>(Y457/12*2*$E457*$G457*$H457*$M457)+(Y457/12*10*$F457*$G457*$H457*$M457)</f>
        <v>0</v>
      </c>
      <c r="AA457" s="123"/>
      <c r="AB457" s="123">
        <f>(AA457/12*2*$E457*$G457*$H457*$M457)+(AA457/12*10*$F457*$G457*$H457*$M457)</f>
        <v>0</v>
      </c>
      <c r="AC457" s="123"/>
      <c r="AD457" s="123"/>
      <c r="AE457" s="123"/>
      <c r="AF457" s="123">
        <f>(AE457/12*2*$E457*$G457*$H457*$M457)+(AE457/12*10*$F457*$G457*$H457*$M457)</f>
        <v>0</v>
      </c>
      <c r="AG457" s="123">
        <v>0</v>
      </c>
      <c r="AH457" s="123">
        <f>(AG457/12*2*$E457*$G457*$H457*$M457)+(AG457/12*10*$F457*$G457*$H457*$M457)</f>
        <v>0</v>
      </c>
      <c r="AI457" s="123"/>
      <c r="AJ457" s="123">
        <f>(AI457/12*2*$E457*$G457*$H457*$M457)+(AI457/12*10*$F457*$G457*$H457*$M457)</f>
        <v>0</v>
      </c>
      <c r="AK457" s="123"/>
      <c r="AL457" s="126">
        <f>(AK457/12*2*$E457*$G457*$H457*$N457)+(AK457/12*10*$F457*$G457*$H457*$N457)</f>
        <v>0</v>
      </c>
      <c r="AM457" s="132"/>
      <c r="AN457" s="123">
        <f>(AM457/12*2*$E457*$G457*$H457*$N457)+(AM457/12*10*$F457*$G457*$H457*$N457)</f>
        <v>0</v>
      </c>
      <c r="AO457" s="130"/>
      <c r="AP457" s="123">
        <f>(AO457/12*2*$E457*$G457*$H457*$N457)+(AO457/12*10*$F457*$G457*$H457*$N457)</f>
        <v>0</v>
      </c>
      <c r="AQ457" s="123">
        <v>0</v>
      </c>
      <c r="AR457" s="123">
        <v>0</v>
      </c>
      <c r="AS457" s="123"/>
      <c r="AT457" s="123"/>
      <c r="AU457" s="123"/>
      <c r="AV457" s="123"/>
      <c r="AW457" s="123"/>
      <c r="AX457" s="123">
        <f>(AW457/12*2*$E457*$G457*$H457*$M457)+(AW457/12*10*$F457*$G457*$H457*$M457)</f>
        <v>0</v>
      </c>
      <c r="AY457" s="123">
        <v>0</v>
      </c>
      <c r="AZ457" s="123">
        <f>(AY457/12*2*$E457*$G457*$H457*$N457)+(AY457/12*10*$F457*$G457*$H457*$N457)</f>
        <v>0</v>
      </c>
      <c r="BA457" s="123"/>
      <c r="BB457" s="123">
        <f>(BA457/12*2*$E457*$G457*$H457*$N457)+(BA457/12*10*$F457*$G457*$H457*$N457)</f>
        <v>0</v>
      </c>
      <c r="BC457" s="123"/>
      <c r="BD457" s="123">
        <f>(BC457/12*2*$E457*$G457*$H457*$N457)+(BC457/12*10*$F457*$G457*$H457*$N457)</f>
        <v>0</v>
      </c>
      <c r="BE457" s="123"/>
      <c r="BF457" s="123">
        <f>(BE457/12*10*$F457*$G457*$H457*$N457)</f>
        <v>0</v>
      </c>
      <c r="BG457" s="123"/>
      <c r="BH457" s="123">
        <f>(BG457/12*2*$E457*$G457*$H457*$N457)+(BG457/12*10*$F457*$G457*$H457*$N457)</f>
        <v>0</v>
      </c>
      <c r="BI457" s="123"/>
      <c r="BJ457" s="123">
        <f>(BI457/12*2*$E457*$G457*$H457*$N457)+(BI457/12*10*$F457*$G457*$H457*$N457)</f>
        <v>0</v>
      </c>
      <c r="BK457" s="123"/>
      <c r="BL457" s="123">
        <f>(BK457/12*2*$E457*$G457*$H457*$N457)+(BK457/12*10*$F457*$G457*$H457*$N457)</f>
        <v>0</v>
      </c>
      <c r="BM457" s="123"/>
      <c r="BN457" s="123">
        <f>(BM457/12*2*$E457*$G457*$H457*$M457)+(BM457/12*10*$F457*$G457*$H457*$M457)</f>
        <v>0</v>
      </c>
      <c r="BO457" s="123"/>
      <c r="BP457" s="123">
        <f>(BO457/12*2*$E457*$G457*$H457*$M457)+(BO457/12*10*$F457*$G457*$H457*$M457)</f>
        <v>0</v>
      </c>
      <c r="BQ457" s="123"/>
      <c r="BR457" s="123">
        <f>(BQ457/12*2*$E457*$G457*$H457*$M457)+(BQ457/12*10*$F457*$G457*$H457*$M457)</f>
        <v>0</v>
      </c>
      <c r="BS457" s="123"/>
      <c r="BT457" s="123">
        <f>(BS457/12*2*$E457*$G457*$H457*$N457)+(BS457/12*10*$F457*$G457*$H457*$N457)</f>
        <v>0</v>
      </c>
      <c r="BU457" s="123"/>
      <c r="BV457" s="123">
        <f>(BU457/12*2*$E457*$G457*$H457*$M457)+(BU457/12*10*$F457*$G457*$H457*$M457)</f>
        <v>0</v>
      </c>
      <c r="BW457" s="123"/>
      <c r="BX457" s="123">
        <f>(BW457/12*2*$E457*$G457*$H457*$M457)+(BW457/12*10*$F457*$G457*$H457*$M457)</f>
        <v>0</v>
      </c>
      <c r="BY457" s="123"/>
      <c r="BZ457" s="123">
        <f>(BY457/12*2*$E457*$G457*$H457*$M457)+(BY457/12*10*$F457*$G457*$H457*$M457)</f>
        <v>0</v>
      </c>
      <c r="CA457" s="123"/>
      <c r="CB457" s="123">
        <f>(CA457/12*2*$E457*$G457*$H457*$M457)+(CA457/12*10*$F457*$G457*$H457*$M457)</f>
        <v>0</v>
      </c>
      <c r="CC457" s="123"/>
      <c r="CD457" s="123">
        <f>(CC457/12*2*$E457*$G457*$H457*$M457)+(CC457/12*10*$F457*$G457*$H457*$M457)</f>
        <v>0</v>
      </c>
      <c r="CE457" s="123"/>
      <c r="CF457" s="123">
        <f>(CE457/12*10*$F457*$G457*$H457*$N457)</f>
        <v>0</v>
      </c>
      <c r="CG457" s="132"/>
      <c r="CH457" s="123">
        <f>(CG457/12*2*$E457*$G457*$H457*$N457)+(CG457/12*10*$F457*$G457*$H457*$N457)</f>
        <v>0</v>
      </c>
      <c r="CI457" s="123"/>
      <c r="CJ457" s="127">
        <f>(CI457*$E457*$G457*$H457*$N457)</f>
        <v>0</v>
      </c>
      <c r="CK457" s="123"/>
      <c r="CL457" s="123">
        <f>(CK457/12*2*$E457*$G457*$H457*$N457)+(CK457/12*10*$F457*$G457*$H457*$N457)</f>
        <v>0</v>
      </c>
      <c r="CM457" s="130"/>
      <c r="CN457" s="123">
        <f>(CM457/12*2*$E457*$G457*$H457*$N457)+(CM457/12*10*$F457*$G457*$H457*$N457)</f>
        <v>0</v>
      </c>
      <c r="CO457" s="123"/>
      <c r="CP457" s="123">
        <f>(CO457/12*2*$E457*$G457*$H457*$N457)+(CO457/12*10*$F457*$G457*$H457*$N457)</f>
        <v>0</v>
      </c>
      <c r="CQ457" s="123"/>
      <c r="CR457" s="123">
        <f>(CQ457/12*2*$E457*$G457*$H457*$O457)+(CQ457/12*10*$F457*$G457*$H457*$O457)</f>
        <v>0</v>
      </c>
      <c r="CS457" s="91"/>
      <c r="CT457" s="127">
        <f>(CS457/12*2*$E457*$G457*$H457*$P457)+(CS457/12*10*$F457*$G457*$H457*$P457)</f>
        <v>0</v>
      </c>
      <c r="CU457" s="127"/>
      <c r="CV457" s="127"/>
      <c r="CW457" s="126">
        <f>SUM(Q457,S457,U457,W457,Y457,AA457,AC457,AE457,AG457,AM457,BQ457,AI457,AU457,CC457,AW457,AY457,AK457,BC457,AO457,AQ457,BE457,CE457,BG457,BI457,BK457,BS457,BM457,BO457,BU457,BW457,BY457,CA457,CG457,BA457,AS457,CI457,CK457,CM457,CO457,CQ457,CS457,CU457)</f>
        <v>5</v>
      </c>
      <c r="CX457" s="126">
        <f>SUM(R457,T457,V457,X457,Z457,AB457,AD457,AF457,AH457,AN457,BR457,AJ457,AV457,CD457,AX457,AZ457,AL457,BD457,AP457,AR457,BF457,CF457,BH457,BJ457,BL457,BT457,BN457,BP457,BV457,BX457,BZ457,CB457,CH457,BB457,AT457,CJ457,CL457,CN457,CP457,CR457,CT457,CV457)</f>
        <v>473745.16</v>
      </c>
    </row>
    <row r="458" spans="1:102" ht="60" x14ac:dyDescent="0.25">
      <c r="A458" s="91"/>
      <c r="B458" s="116">
        <v>380</v>
      </c>
      <c r="C458" s="117" t="s">
        <v>1034</v>
      </c>
      <c r="D458" s="161" t="s">
        <v>1035</v>
      </c>
      <c r="E458" s="95">
        <v>28004</v>
      </c>
      <c r="F458" s="96">
        <v>29405</v>
      </c>
      <c r="G458" s="152">
        <v>18.149999999999999</v>
      </c>
      <c r="H458" s="110">
        <v>0.9</v>
      </c>
      <c r="I458" s="110">
        <v>0.85</v>
      </c>
      <c r="J458" s="108"/>
      <c r="K458" s="108"/>
      <c r="L458" s="63"/>
      <c r="M458" s="120">
        <v>1.4</v>
      </c>
      <c r="N458" s="120">
        <v>1.68</v>
      </c>
      <c r="O458" s="120">
        <v>2.23</v>
      </c>
      <c r="P458" s="121">
        <v>2.57</v>
      </c>
      <c r="Q458" s="286">
        <v>2</v>
      </c>
      <c r="R458" s="123">
        <f>(Q458/12*2*$E458*$G458*$H458*$M458*$R$11)+(Q458/12*10*$F458*$G458*$I458*$M458*$R$11)</f>
        <v>1399179.07745</v>
      </c>
      <c r="S458" s="124">
        <v>50</v>
      </c>
      <c r="T458" s="125">
        <f>(S458/12*2*$E458*$G458*$H458*$M458*$R$11)+(S458/12*10*$F458*$G458*$I458*$M458*$R$11)</f>
        <v>34979476.936250001</v>
      </c>
      <c r="U458" s="123">
        <v>10</v>
      </c>
      <c r="V458" s="123">
        <f>(U458/12*2*$E458*$G458*$H458*$M458*$V$11)+(U458/12*10*$F458*$G458*$I458*$M458*$V$12)</f>
        <v>8533389.5858750008</v>
      </c>
      <c r="W458" s="123"/>
      <c r="X458" s="126">
        <f>(W458/12*2*$E458*$G458*$H458*$M458*$X$11)+(W458/12*10*$F458*$G458*$I458*$M458*$X$12)</f>
        <v>0</v>
      </c>
      <c r="Y458" s="123"/>
      <c r="Z458" s="123">
        <f>(Y458/12*2*$E458*$G458*$H458*$M458*$Z$11)+(Y458/12*10*$F458*$G458*$I458*$M458*$Z$12)</f>
        <v>0</v>
      </c>
      <c r="AA458" s="123"/>
      <c r="AB458" s="123">
        <f>(AA458/12*2*$E458*$G458*$H458*$M458*$AB$11)+(AA458/12*10*$F458*$G458*$I458*$M458*$AB$11)</f>
        <v>0</v>
      </c>
      <c r="AC458" s="123"/>
      <c r="AD458" s="123"/>
      <c r="AE458" s="123">
        <v>1</v>
      </c>
      <c r="AF458" s="123">
        <f>(AE458/12*2*$E458*$G458*$H458*$M458*$AF$11)+(AE458/12*10*$F458*$G458*$I458*$M458*$AF$11)</f>
        <v>699589.53872499999</v>
      </c>
      <c r="AG458" s="123">
        <v>0</v>
      </c>
      <c r="AH458" s="126">
        <f>(AG458/12*2*$E458*$G458*$H458*$M458*$AH$11)+(AG458/12*10*$F458*$G458*$I458*$M458*$AH$11)</f>
        <v>0</v>
      </c>
      <c r="AI458" s="123"/>
      <c r="AJ458" s="123">
        <f>(AI458/12*2*$E458*$G458*$H458*$M458*$AJ$11)+(AI458/12*5*$F458*$G458*$I458*$M458*$AJ$12)+(AI458/12*5*$F458*$G458*$I458*$M458*$AJ$13)</f>
        <v>0</v>
      </c>
      <c r="AK458" s="123">
        <f>2</f>
        <v>2</v>
      </c>
      <c r="AL458" s="123">
        <f>(AK458/12*2*$E458*$G458*$H458*$N458*$AL$11)+(AK458/12*5*$F458*$G458*$I458*$N458*$AL$12)+(AK458/12*5*$F458*$G458*$I458*$N458*$AL$13)</f>
        <v>1971588.2501699997</v>
      </c>
      <c r="AM458" s="132"/>
      <c r="AN458" s="123">
        <f>(AM458/12*2*$E458*$G458*$H458*$N458*$AN$11)+(AM458/12*10*$F458*$G458*$I458*$N458*$AN$12)</f>
        <v>0</v>
      </c>
      <c r="AO458" s="130"/>
      <c r="AP458" s="127">
        <f>(AO458/12*2*$E458*$G458*$H458*$N458*$AP$11)+(AO458/12*10*$F458*$G458*$I458*$N458*$AP$11)</f>
        <v>0</v>
      </c>
      <c r="AQ458" s="127">
        <v>0</v>
      </c>
      <c r="AR458" s="127">
        <v>0</v>
      </c>
      <c r="AS458" s="123"/>
      <c r="AT458" s="123"/>
      <c r="AU458" s="123"/>
      <c r="AV458" s="126"/>
      <c r="AW458" s="123"/>
      <c r="AX458" s="123">
        <f>(AW458/12*2*$E458*$G458*$H458*$M458*$AX$11)+(AW458/12*10*$F458*$G458*$I458*$M458*$AX$12)</f>
        <v>0</v>
      </c>
      <c r="AY458" s="123">
        <v>0</v>
      </c>
      <c r="AZ458" s="123">
        <f>(AY458/12*2*$E458*$G458*$H458*$N458*$AZ$11)+(AY458/12*10*$F458*$G458*$I458*$N458*$AZ$11)</f>
        <v>0</v>
      </c>
      <c r="BA458" s="123"/>
      <c r="BB458" s="123">
        <f>(BA458/12*2*$E458*$G458*$H458*$N458*$BB$11)+(BA458/12*10*$F458*$G458*$I458*$N458*$BB$12)</f>
        <v>0</v>
      </c>
      <c r="BC458" s="123"/>
      <c r="BD458" s="126"/>
      <c r="BE458" s="123"/>
      <c r="BF458" s="123">
        <f>(BE458/12*10*$F458*$G458*$I458*$N458*$BF$12)</f>
        <v>0</v>
      </c>
      <c r="BG458" s="123"/>
      <c r="BH458" s="123">
        <f>(BG458/12*2*$E458*$G458*$H458*$N458*$BH$11)+(BG458/12*10*$F458*$G458*$I458*$N458*$BH$11)</f>
        <v>0</v>
      </c>
      <c r="BI458" s="123"/>
      <c r="BJ458" s="126">
        <f>(BI458/12*2*$E458*$G458*$H458*$N458*$BJ$11)+(BI458/12*10*$F458*$G458*$I458*$N458*$BJ$11)</f>
        <v>0</v>
      </c>
      <c r="BK458" s="123"/>
      <c r="BL458" s="127">
        <f>(BK458/12*2*$E458*$G458*$H458*$N458*$BL$11)+(BK458/12*10*$F458*$G458*$I458*$N458*$BL$11)</f>
        <v>0</v>
      </c>
      <c r="BM458" s="123"/>
      <c r="BN458" s="123">
        <f>(BM458/12*2*$E458*$G458*$H458*$M458*$BN$11)+(BM458/12*10*$F458*$G458*$I458*$M458*$BN$11)</f>
        <v>0</v>
      </c>
      <c r="BO458" s="123"/>
      <c r="BP458" s="123">
        <f>(BO458/12*2*$E458*$G458*$H458*$M458*$BP$11)+(BO458/12*10*$F458*$G458*$I458*$M458*$BP$12)</f>
        <v>0</v>
      </c>
      <c r="BQ458" s="123"/>
      <c r="BR458" s="123">
        <f>(BQ458/12*2*$E458*$G458*$H458*$M458*$BR$11)+(BQ458/12*10*$F458*$G458*$I458*$M458*$BR$11)</f>
        <v>0</v>
      </c>
      <c r="BS458" s="123"/>
      <c r="BT458" s="123">
        <f>(BS458/12*2*$E458*$G458*$H458*$N458*$BT$11)+(BS458/12*10*$F458*$G458*$I458*$N458*$BT$11)</f>
        <v>0</v>
      </c>
      <c r="BU458" s="123"/>
      <c r="BV458" s="126">
        <f>(BU458/12*2*$E458*$G458*$H458*$M458*$BV$11)+(BU458/12*10*$F458*$G458*$I458*$M458*$BV$11)</f>
        <v>0</v>
      </c>
      <c r="BW458" s="123"/>
      <c r="BX458" s="123">
        <f>(BW458/12*2*$E458*$G458*$H458*$M458*$BX$11)+(BW458/12*10*$F458*$G458*$I458*$M458*$BX$11)</f>
        <v>0</v>
      </c>
      <c r="BY458" s="123"/>
      <c r="BZ458" s="123">
        <f>(BY458/12*2*$E458*$G458*$H458*$M458*$BZ$11)+(BY458/12*10*$F458*$G458*$I458*$M458*$BZ$11)</f>
        <v>0</v>
      </c>
      <c r="CA458" s="123"/>
      <c r="CB458" s="123">
        <f>(CA458/12*2*$E458*$G458*$H458*$M458*$CB$11)+(CA458/12*10*$F458*$G458*$I458*$M458*$CB$11)</f>
        <v>0</v>
      </c>
      <c r="CC458" s="123"/>
      <c r="CD458" s="123">
        <f>(CC458/12*2*$E458*$G458*$H458*$M458*$CD$11)+(CC458/12*10*$F458*$G458*$I458*$M458*$CD$11)</f>
        <v>0</v>
      </c>
      <c r="CE458" s="123"/>
      <c r="CF458" s="123">
        <f>(CE458/12*10*$F458*$G458*$I458*$N458*$CF$11)</f>
        <v>0</v>
      </c>
      <c r="CG458" s="132"/>
      <c r="CH458" s="123">
        <f>(CG458/12*2*$E458*$G458*$H458*$N458*$CH$11)+(CG458/12*10*$F458*$G458*$I458*$N458*$CH$11)</f>
        <v>0</v>
      </c>
      <c r="CI458" s="123"/>
      <c r="CJ458" s="127"/>
      <c r="CK458" s="123"/>
      <c r="CL458" s="123">
        <f>(CK458/12*2*$E458*$G458*$H458*$N458*$CL$11)+(CK458/12*10*$F458*$G458*$I458*$N458*$CL$12)</f>
        <v>0</v>
      </c>
      <c r="CM458" s="130"/>
      <c r="CN458" s="123">
        <f>(CM458/12*2*$E458*$G458*$H458*$N458*$CN$11)+(CM458/12*10*$F458*$G458*$I458*$N458*$CN$11)</f>
        <v>0</v>
      </c>
      <c r="CO458" s="123"/>
      <c r="CP458" s="123">
        <f>(CO458/12*2*$E458*$G458*$H458*$N458*$CP$11)+(CO458/12*10*$F458*$G458*$I458*$N458*$CP$11)</f>
        <v>0</v>
      </c>
      <c r="CQ458" s="123"/>
      <c r="CR458" s="123">
        <f>(CQ458/12*2*$E458*$G458*$H458*$O458*$CR$11)+(CQ458/12*10*$F458*$G458*$I458*$O458*$CR$11)</f>
        <v>0</v>
      </c>
      <c r="CS458" s="91"/>
      <c r="CT458" s="133">
        <f>(CS458/12*2*$E458*$G458*$H458*$P458*$CT$11)+(CS458/12*10*$F458*$G458*$I458*$P458*$CT$11)</f>
        <v>0</v>
      </c>
      <c r="CU458" s="127"/>
      <c r="CV458" s="123"/>
      <c r="CW458" s="126">
        <f>SUM(Q458,S458,U458,W458,Y458,AA458,AC458,AE458,AG458,AM458,BQ458,AI458,AU458,CC458,AW458,AY458,AK458,BC458,AO458,AQ458,BE458,CE458,BG458,BI458,BK458,BS458,BM458,BO458,BU458,BW458,BY458,CA458,CG458,BA458,AS458,CI458,CK458,CM458,CO458,CQ458,CS458,CU458)</f>
        <v>65</v>
      </c>
      <c r="CX458" s="126">
        <f>SUM(R458,T458,V458,X458,Z458,AB458,AD458,AF458,AH458,AN458,BR458,AJ458,AV458,CD458,AX458,AZ458,AL458,BD458,AP458,AR458,BF458,CF458,BH458,BJ458,BL458,BT458,BN458,BP458,BV458,BX458,BZ458,CB458,CH458,BB458,AT458,CJ458,CL458,CN458,CP458,CR458,CT458,CV458)</f>
        <v>47583223.388470002</v>
      </c>
    </row>
    <row r="459" spans="1:102" ht="15.75" customHeight="1" x14ac:dyDescent="0.25">
      <c r="A459" s="91"/>
      <c r="B459" s="116">
        <v>381</v>
      </c>
      <c r="C459" s="117" t="s">
        <v>1036</v>
      </c>
      <c r="D459" s="161" t="s">
        <v>1037</v>
      </c>
      <c r="E459" s="95">
        <v>28004</v>
      </c>
      <c r="F459" s="96">
        <v>29405</v>
      </c>
      <c r="G459" s="152">
        <v>2.0499999999999998</v>
      </c>
      <c r="H459" s="107">
        <v>1</v>
      </c>
      <c r="I459" s="108"/>
      <c r="J459" s="108"/>
      <c r="K459" s="108"/>
      <c r="L459" s="63"/>
      <c r="M459" s="120">
        <v>1.4</v>
      </c>
      <c r="N459" s="120">
        <v>1.68</v>
      </c>
      <c r="O459" s="120">
        <v>2.23</v>
      </c>
      <c r="P459" s="121">
        <v>2.57</v>
      </c>
      <c r="Q459" s="286">
        <v>0</v>
      </c>
      <c r="R459" s="123">
        <f>(Q459/12*2*$E459*$G459*$H459*$M459)+(Q459/12*10*$F459*$G459*$H459*$M459)</f>
        <v>0</v>
      </c>
      <c r="S459" s="124"/>
      <c r="T459" s="125">
        <f>(S459/12*2*$E459*$G459*$H459*$M459)+(S459/12*10*$F459*$G459*$H459*$M459)</f>
        <v>0</v>
      </c>
      <c r="U459" s="123"/>
      <c r="V459" s="123">
        <f>(U459/12*2*$E459*$G459*$H459*$M459)+(U459/12*10*$F459*$G459*$H459*$M459)</f>
        <v>0</v>
      </c>
      <c r="W459" s="123"/>
      <c r="X459" s="123">
        <f>(W459/12*2*$E459*$G459*$H459*$M459)+(W459/12*10*$F459*$G459*$H459*$M459)</f>
        <v>0</v>
      </c>
      <c r="Y459" s="123"/>
      <c r="Z459" s="123">
        <f>(Y459/12*2*$E459*$G459*$H459*$M459)+(Y459/12*10*$F459*$G459*$H459*$M459)</f>
        <v>0</v>
      </c>
      <c r="AA459" s="123"/>
      <c r="AB459" s="123">
        <f>(AA459/12*2*$E459*$G459*$H459*$M459)+(AA459/12*10*$F459*$G459*$H459*$M459)</f>
        <v>0</v>
      </c>
      <c r="AC459" s="123"/>
      <c r="AD459" s="123"/>
      <c r="AE459" s="123"/>
      <c r="AF459" s="123">
        <f>(AE459/12*2*$E459*$G459*$H459*$M459)+(AE459/12*10*$F459*$G459*$H459*$M459)</f>
        <v>0</v>
      </c>
      <c r="AG459" s="123">
        <v>0</v>
      </c>
      <c r="AH459" s="123">
        <f>(AG459/12*2*$E459*$G459*$H459*$M459)+(AG459/12*10*$F459*$G459*$H459*$M459)</f>
        <v>0</v>
      </c>
      <c r="AI459" s="123"/>
      <c r="AJ459" s="123">
        <f>(AI459/12*2*$E459*$G459*$H459*$M459)+(AI459/12*10*$F459*$G459*$H459*$M459)</f>
        <v>0</v>
      </c>
      <c r="AK459" s="123"/>
      <c r="AL459" s="126">
        <f>(AK459/12*2*$E459*$G459*$H459*$N459)+(AK459/12*10*$F459*$G459*$H459*$N459)</f>
        <v>0</v>
      </c>
      <c r="AM459" s="132"/>
      <c r="AN459" s="123">
        <f>(AM459/12*2*$E459*$G459*$H459*$N459)+(AM459/12*10*$F459*$G459*$H459*$N459)</f>
        <v>0</v>
      </c>
      <c r="AO459" s="130"/>
      <c r="AP459" s="123">
        <f>(AO459/12*2*$E459*$G459*$H459*$N459)+(AO459/12*10*$F459*$G459*$H459*$N459)</f>
        <v>0</v>
      </c>
      <c r="AQ459" s="123">
        <v>0</v>
      </c>
      <c r="AR459" s="123">
        <v>0</v>
      </c>
      <c r="AS459" s="123"/>
      <c r="AT459" s="123"/>
      <c r="AU459" s="123"/>
      <c r="AV459" s="123"/>
      <c r="AW459" s="123"/>
      <c r="AX459" s="123">
        <f>(AW459/12*2*$E459*$G459*$H459*$M459)+(AW459/12*10*$F459*$G459*$H459*$M459)</f>
        <v>0</v>
      </c>
      <c r="AY459" s="123">
        <v>0</v>
      </c>
      <c r="AZ459" s="123">
        <f>(AY459/12*2*$E459*$G459*$H459*$N459)+(AY459/12*10*$F459*$G459*$H459*$N459)</f>
        <v>0</v>
      </c>
      <c r="BA459" s="123"/>
      <c r="BB459" s="123">
        <f>(BA459/12*2*$E459*$G459*$H459*$N459)+(BA459/12*10*$F459*$G459*$H459*$N459)</f>
        <v>0</v>
      </c>
      <c r="BC459" s="123"/>
      <c r="BD459" s="123">
        <f>(BC459/12*2*$E459*$G459*$H459*$N459)+(BC459/12*10*$F459*$G459*$H459*$N459)</f>
        <v>0</v>
      </c>
      <c r="BE459" s="123"/>
      <c r="BF459" s="123">
        <f>(BE459/12*10*$F459*$G459*$H459*$N459)</f>
        <v>0</v>
      </c>
      <c r="BG459" s="123"/>
      <c r="BH459" s="123">
        <f>(BG459/12*2*$E459*$G459*$H459*$N459)+(BG459/12*10*$F459*$G459*$H459*$N459)</f>
        <v>0</v>
      </c>
      <c r="BI459" s="123"/>
      <c r="BJ459" s="123">
        <f>(BI459/12*2*$E459*$G459*$H459*$N459)+(BI459/12*10*$F459*$G459*$H459*$N459)</f>
        <v>0</v>
      </c>
      <c r="BK459" s="123"/>
      <c r="BL459" s="123">
        <f>(BK459/12*2*$E459*$G459*$H459*$N459)+(BK459/12*10*$F459*$G459*$H459*$N459)</f>
        <v>0</v>
      </c>
      <c r="BM459" s="123"/>
      <c r="BN459" s="123">
        <f>(BM459/12*2*$E459*$G459*$H459*$M459)+(BM459/12*10*$F459*$G459*$H459*$M459)</f>
        <v>0</v>
      </c>
      <c r="BO459" s="123"/>
      <c r="BP459" s="123">
        <f>(BO459/12*2*$E459*$G459*$H459*$M459)+(BO459/12*10*$F459*$G459*$H459*$M459)</f>
        <v>0</v>
      </c>
      <c r="BQ459" s="123"/>
      <c r="BR459" s="123">
        <f>(BQ459/12*2*$E459*$G459*$H459*$M459)+(BQ459/12*10*$F459*$G459*$H459*$M459)</f>
        <v>0</v>
      </c>
      <c r="BS459" s="123"/>
      <c r="BT459" s="123">
        <f>(BS459/12*2*$E459*$G459*$H459*$N459)+(BS459/12*10*$F459*$G459*$H459*$N459)</f>
        <v>0</v>
      </c>
      <c r="BU459" s="123"/>
      <c r="BV459" s="123">
        <f>(BU459/12*2*$E459*$G459*$H459*$M459)+(BU459/12*10*$F459*$G459*$H459*$M459)</f>
        <v>0</v>
      </c>
      <c r="BW459" s="123"/>
      <c r="BX459" s="123">
        <f>(BW459/12*2*$E459*$G459*$H459*$M459)+(BW459/12*10*$F459*$G459*$H459*$M459)</f>
        <v>0</v>
      </c>
      <c r="BY459" s="123"/>
      <c r="BZ459" s="123">
        <f>(BY459/12*2*$E459*$G459*$H459*$M459)+(BY459/12*10*$F459*$G459*$H459*$M459)</f>
        <v>0</v>
      </c>
      <c r="CA459" s="123"/>
      <c r="CB459" s="123">
        <f>(CA459/12*2*$E459*$G459*$H459*$M459)+(CA459/12*10*$F459*$G459*$H459*$M459)</f>
        <v>0</v>
      </c>
      <c r="CC459" s="123"/>
      <c r="CD459" s="123">
        <f>(CC459/12*2*$E459*$G459*$H459*$M459)+(CC459/12*10*$F459*$G459*$H459*$M459)</f>
        <v>0</v>
      </c>
      <c r="CE459" s="123"/>
      <c r="CF459" s="123">
        <f>(CE459/12*10*$F459*$G459*$H459*$N459)</f>
        <v>0</v>
      </c>
      <c r="CG459" s="132"/>
      <c r="CH459" s="123">
        <f>(CG459/12*2*$E459*$G459*$H459*$N459)+(CG459/12*10*$F459*$G459*$H459*$N459)</f>
        <v>0</v>
      </c>
      <c r="CI459" s="123"/>
      <c r="CJ459" s="127">
        <f>(CI459*$E459*$G459*$H459*$N459)</f>
        <v>0</v>
      </c>
      <c r="CK459" s="123"/>
      <c r="CL459" s="123">
        <f>(CK459/12*2*$E459*$G459*$H459*$N459)+(CK459/12*10*$F459*$G459*$H459*$N459)</f>
        <v>0</v>
      </c>
      <c r="CM459" s="130"/>
      <c r="CN459" s="123">
        <f>(CM459/12*2*$E459*$G459*$H459*$N459)+(CM459/12*10*$F459*$G459*$H459*$N459)</f>
        <v>0</v>
      </c>
      <c r="CO459" s="123"/>
      <c r="CP459" s="123">
        <f>(CO459/12*2*$E459*$G459*$H459*$N459)+(CO459/12*10*$F459*$G459*$H459*$N459)</f>
        <v>0</v>
      </c>
      <c r="CQ459" s="123"/>
      <c r="CR459" s="123">
        <f>(CQ459/12*2*$E459*$G459*$H459*$O459)+(CQ459/12*10*$F459*$G459*$H459*$O459)</f>
        <v>0</v>
      </c>
      <c r="CS459" s="91"/>
      <c r="CT459" s="127">
        <f>(CS459/12*2*$E459*$G459*$H459*$P459)+(CS459/12*10*$F459*$G459*$H459*$P459)</f>
        <v>0</v>
      </c>
      <c r="CU459" s="127"/>
      <c r="CV459" s="127"/>
      <c r="CW459" s="126">
        <f t="shared" ref="CW459:CX465" si="607">SUM(Q459,S459,U459,W459,Y459,AA459,AC459,AE459,AG459,AM459,BQ459,AI459,AU459,CC459,AW459,AY459,AK459,BC459,AO459,AQ459,BE459,CE459,BG459,BI459,BK459,BS459,BM459,BO459,BU459,BW459,BY459,CA459,CG459,BA459,AS459,CI459,CK459,CM459,CO459,CQ459,CS459,CU459)</f>
        <v>0</v>
      </c>
      <c r="CX459" s="126">
        <f t="shared" si="607"/>
        <v>0</v>
      </c>
    </row>
    <row r="460" spans="1:102" ht="30" x14ac:dyDescent="0.25">
      <c r="A460" s="91"/>
      <c r="B460" s="116">
        <v>382</v>
      </c>
      <c r="C460" s="117" t="s">
        <v>1038</v>
      </c>
      <c r="D460" s="161" t="s">
        <v>1039</v>
      </c>
      <c r="E460" s="95">
        <v>28004</v>
      </c>
      <c r="F460" s="96">
        <v>29405</v>
      </c>
      <c r="G460" s="152">
        <v>7.81</v>
      </c>
      <c r="H460" s="107">
        <v>1</v>
      </c>
      <c r="I460" s="108"/>
      <c r="J460" s="108"/>
      <c r="K460" s="108"/>
      <c r="L460" s="63"/>
      <c r="M460" s="120">
        <v>1.4</v>
      </c>
      <c r="N460" s="120">
        <v>1.68</v>
      </c>
      <c r="O460" s="120">
        <v>2.23</v>
      </c>
      <c r="P460" s="121">
        <v>2.57</v>
      </c>
      <c r="Q460" s="286">
        <v>0</v>
      </c>
      <c r="R460" s="123">
        <f>(Q460/12*2*$E460*$G460*$H460*$M460)+(Q460/12*10*$F460*$G460*$H460*$M460)</f>
        <v>0</v>
      </c>
      <c r="S460" s="124"/>
      <c r="T460" s="125">
        <f>(S460/12*2*$E460*$G460*$H460*$M460)+(S460/12*10*$F460*$G460*$H460*$M460)</f>
        <v>0</v>
      </c>
      <c r="U460" s="123"/>
      <c r="V460" s="123">
        <f>(U460/12*2*$E460*$G460*$H460*$M460)+(U460/12*10*$F460*$G460*$H460*$M460)</f>
        <v>0</v>
      </c>
      <c r="W460" s="123"/>
      <c r="X460" s="123">
        <f>(W460/12*2*$E460*$G460*$H460*$M460)+(W460/12*10*$F460*$G460*$H460*$M460)</f>
        <v>0</v>
      </c>
      <c r="Y460" s="123"/>
      <c r="Z460" s="123">
        <f>(Y460/12*2*$E460*$G460*$H460*$M460)+(Y460/12*10*$F460*$G460*$H460*$M460)</f>
        <v>0</v>
      </c>
      <c r="AA460" s="123"/>
      <c r="AB460" s="123">
        <f>(AA460/12*2*$E460*$G460*$H460*$M460)+(AA460/12*10*$F460*$G460*$H460*$M460)</f>
        <v>0</v>
      </c>
      <c r="AC460" s="123"/>
      <c r="AD460" s="123"/>
      <c r="AE460" s="123"/>
      <c r="AF460" s="123">
        <f>(AE460/12*2*$E460*$G460*$H460*$M460)+(AE460/12*10*$F460*$G460*$H460*$M460)</f>
        <v>0</v>
      </c>
      <c r="AG460" s="123">
        <v>0</v>
      </c>
      <c r="AH460" s="123">
        <f>(AG460/12*2*$E460*$G460*$H460*$M460)+(AG460/12*10*$F460*$G460*$H460*$M460)</f>
        <v>0</v>
      </c>
      <c r="AI460" s="123"/>
      <c r="AJ460" s="123">
        <f>(AI460/12*2*$E460*$G460*$H460*$M460)+(AI460/12*10*$F460*$G460*$H460*$M460)</f>
        <v>0</v>
      </c>
      <c r="AK460" s="123"/>
      <c r="AL460" s="126">
        <f>(AK460/12*2*$E460*$G460*$H460*$N460)+(AK460/12*10*$F460*$G460*$H460*$N460)</f>
        <v>0</v>
      </c>
      <c r="AM460" s="132"/>
      <c r="AN460" s="123">
        <f>(AM460/12*2*$E460*$G460*$H460*$N460)+(AM460/12*10*$F460*$G460*$H460*$N460)</f>
        <v>0</v>
      </c>
      <c r="AO460" s="130"/>
      <c r="AP460" s="123">
        <f>(AO460/12*2*$E460*$G460*$H460*$N460)+(AO460/12*10*$F460*$G460*$H460*$N460)</f>
        <v>0</v>
      </c>
      <c r="AQ460" s="123">
        <v>0</v>
      </c>
      <c r="AR460" s="123">
        <v>0</v>
      </c>
      <c r="AS460" s="123"/>
      <c r="AT460" s="123"/>
      <c r="AU460" s="123"/>
      <c r="AV460" s="123"/>
      <c r="AW460" s="123"/>
      <c r="AX460" s="123">
        <f>(AW460/12*2*$E460*$G460*$H460*$M460)+(AW460/12*10*$F460*$G460*$H460*$M460)</f>
        <v>0</v>
      </c>
      <c r="AY460" s="123">
        <v>0</v>
      </c>
      <c r="AZ460" s="123">
        <f>(AY460/12*2*$E460*$G460*$H460*$N460)+(AY460/12*10*$F460*$G460*$H460*$N460)</f>
        <v>0</v>
      </c>
      <c r="BA460" s="123"/>
      <c r="BB460" s="123">
        <f>(BA460/12*2*$E460*$G460*$H460*$N460)+(BA460/12*10*$F460*$G460*$H460*$N460)</f>
        <v>0</v>
      </c>
      <c r="BC460" s="123"/>
      <c r="BD460" s="123">
        <f>(BC460/12*2*$E460*$G460*$H460*$N460)+(BC460/12*10*$F460*$G460*$H460*$N460)</f>
        <v>0</v>
      </c>
      <c r="BE460" s="123"/>
      <c r="BF460" s="123">
        <f>(BE460/12*10*$F460*$G460*$H460*$N460)</f>
        <v>0</v>
      </c>
      <c r="BG460" s="123"/>
      <c r="BH460" s="123">
        <f>(BG460/12*2*$E460*$G460*$H460*$N460)+(BG460/12*10*$F460*$G460*$H460*$N460)</f>
        <v>0</v>
      </c>
      <c r="BI460" s="123"/>
      <c r="BJ460" s="123">
        <f>(BI460/12*2*$E460*$G460*$H460*$N460)+(BI460/12*10*$F460*$G460*$H460*$N460)</f>
        <v>0</v>
      </c>
      <c r="BK460" s="123"/>
      <c r="BL460" s="123">
        <f>(BK460/12*2*$E460*$G460*$H460*$N460)+(BK460/12*10*$F460*$G460*$H460*$N460)</f>
        <v>0</v>
      </c>
      <c r="BM460" s="123"/>
      <c r="BN460" s="123">
        <f>(BM460/12*2*$E460*$G460*$H460*$M460)+(BM460/12*10*$F460*$G460*$H460*$M460)</f>
        <v>0</v>
      </c>
      <c r="BO460" s="123"/>
      <c r="BP460" s="123">
        <f>(BO460/12*2*$E460*$G460*$H460*$M460)+(BO460/12*10*$F460*$G460*$H460*$M460)</f>
        <v>0</v>
      </c>
      <c r="BQ460" s="123"/>
      <c r="BR460" s="123">
        <f>(BQ460/12*2*$E460*$G460*$H460*$M460)+(BQ460/12*10*$F460*$G460*$H460*$M460)</f>
        <v>0</v>
      </c>
      <c r="BS460" s="123"/>
      <c r="BT460" s="123">
        <f>(BS460/12*2*$E460*$G460*$H460*$N460)+(BS460/12*10*$F460*$G460*$H460*$N460)</f>
        <v>0</v>
      </c>
      <c r="BU460" s="123"/>
      <c r="BV460" s="123">
        <f>(BU460/12*2*$E460*$G460*$H460*$M460)+(BU460/12*10*$F460*$G460*$H460*$M460)</f>
        <v>0</v>
      </c>
      <c r="BW460" s="123"/>
      <c r="BX460" s="123">
        <f>(BW460/12*2*$E460*$G460*$H460*$M460)+(BW460/12*10*$F460*$G460*$H460*$M460)</f>
        <v>0</v>
      </c>
      <c r="BY460" s="123"/>
      <c r="BZ460" s="123">
        <f>(BY460/12*2*$E460*$G460*$H460*$M460)+(BY460/12*10*$F460*$G460*$H460*$M460)</f>
        <v>0</v>
      </c>
      <c r="CA460" s="123"/>
      <c r="CB460" s="123">
        <f>(CA460/12*2*$E460*$G460*$H460*$M460)+(CA460/12*10*$F460*$G460*$H460*$M460)</f>
        <v>0</v>
      </c>
      <c r="CC460" s="123"/>
      <c r="CD460" s="123">
        <f>(CC460/12*2*$E460*$G460*$H460*$M460)+(CC460/12*10*$F460*$G460*$H460*$M460)</f>
        <v>0</v>
      </c>
      <c r="CE460" s="123"/>
      <c r="CF460" s="123">
        <f>(CE460/12*10*$F460*$G460*$H460*$N460)</f>
        <v>0</v>
      </c>
      <c r="CG460" s="132"/>
      <c r="CH460" s="123">
        <f>(CG460/12*2*$E460*$G460*$H460*$N460)+(CG460/12*10*$F460*$G460*$H460*$N460)</f>
        <v>0</v>
      </c>
      <c r="CI460" s="123"/>
      <c r="CJ460" s="127">
        <f>(CI460*$E460*$G460*$H460*$N460)</f>
        <v>0</v>
      </c>
      <c r="CK460" s="123"/>
      <c r="CL460" s="123">
        <f>(CK460/12*2*$E460*$G460*$H460*$N460)+(CK460/12*10*$F460*$G460*$H460*$N460)</f>
        <v>0</v>
      </c>
      <c r="CM460" s="130"/>
      <c r="CN460" s="123">
        <f>(CM460/12*2*$E460*$G460*$H460*$N460)+(CM460/12*10*$F460*$G460*$H460*$N460)</f>
        <v>0</v>
      </c>
      <c r="CO460" s="123"/>
      <c r="CP460" s="123">
        <f>(CO460/12*2*$E460*$G460*$H460*$N460)+(CO460/12*10*$F460*$G460*$H460*$N460)</f>
        <v>0</v>
      </c>
      <c r="CQ460" s="123"/>
      <c r="CR460" s="123">
        <f>(CQ460/12*2*$E460*$G460*$H460*$O460)+(CQ460/12*10*$F460*$G460*$H460*$O460)</f>
        <v>0</v>
      </c>
      <c r="CS460" s="91"/>
      <c r="CT460" s="127">
        <f>(CS460/12*2*$E460*$G460*$H460*$P460)+(CS460/12*10*$F460*$G460*$H460*$P460)</f>
        <v>0</v>
      </c>
      <c r="CU460" s="127"/>
      <c r="CV460" s="127"/>
      <c r="CW460" s="126">
        <f t="shared" si="607"/>
        <v>0</v>
      </c>
      <c r="CX460" s="126">
        <f t="shared" si="607"/>
        <v>0</v>
      </c>
    </row>
    <row r="461" spans="1:102" ht="28.5" customHeight="1" x14ac:dyDescent="0.25">
      <c r="A461" s="91"/>
      <c r="B461" s="116">
        <v>383</v>
      </c>
      <c r="C461" s="117" t="s">
        <v>1040</v>
      </c>
      <c r="D461" s="161" t="s">
        <v>1041</v>
      </c>
      <c r="E461" s="95">
        <v>28004</v>
      </c>
      <c r="F461" s="96">
        <v>29405</v>
      </c>
      <c r="G461" s="152">
        <v>40</v>
      </c>
      <c r="H461" s="107">
        <v>1</v>
      </c>
      <c r="I461" s="108"/>
      <c r="J461" s="108"/>
      <c r="K461" s="108"/>
      <c r="L461" s="282">
        <v>0.2722</v>
      </c>
      <c r="M461" s="120">
        <v>1.4</v>
      </c>
      <c r="N461" s="120">
        <v>1.68</v>
      </c>
      <c r="O461" s="120">
        <v>2.23</v>
      </c>
      <c r="P461" s="121">
        <v>2.57</v>
      </c>
      <c r="Q461" s="286">
        <v>1</v>
      </c>
      <c r="R461" s="143">
        <f>(Q461/12*2*$E461*$G461*((1-$L461)+$L461*$M461*H461))+(Q461/12*10*$F461*$G461*((1-$L461)+$L461*$M461*H461))</f>
        <v>1293907.7167999998</v>
      </c>
      <c r="S461" s="124"/>
      <c r="T461" s="125"/>
      <c r="U461" s="123"/>
      <c r="V461" s="143">
        <f>(U461/12*2*$E461*$G461*((1-$L461)+$L461*$M461*$H461))+(U461/12*10*$F461*$G461*((1-$L461)+$L461*$M461*$H461))</f>
        <v>0</v>
      </c>
      <c r="W461" s="123"/>
      <c r="X461" s="143">
        <f>(W461/12*2*$E461*$G461*((1-$L461)+$L461*$M461*$H461))+(W461/12*10*$F461*$G461*((1-$L461)+$L461*$M461*$H461))</f>
        <v>0</v>
      </c>
      <c r="Y461" s="123"/>
      <c r="Z461" s="143">
        <f>(Y461/12*2*$E461*$G461*((1-$L461)+$L461*$M461*$H461))+(Y461/12*10*$F461*$G461*((1-$L461)+$L461*$M461*$H461))</f>
        <v>0</v>
      </c>
      <c r="AA461" s="123"/>
      <c r="AB461" s="143">
        <f>(AA461/12*2*$E461*$G461*((1-$L461)+$L461*$M461*$H461))+(AA461/12*10*$F461*$G461*((1-$L461)+$L461*$M461*$H461))</f>
        <v>0</v>
      </c>
      <c r="AC461" s="123"/>
      <c r="AD461" s="123"/>
      <c r="AE461" s="123"/>
      <c r="AF461" s="143">
        <f>(AE461/12*2*$E461*$G461*((1-$L461)+$L461*$M461*$H461))+(AE461/12*10*$F461*$G461*((1-$L461)+$L461*$M461*$H461))</f>
        <v>0</v>
      </c>
      <c r="AG461" s="123">
        <v>0</v>
      </c>
      <c r="AH461" s="143">
        <f>(AG461/12*2*$E461*$G461*((1-$L461)+$L461*$M461*$H461))+(AG461/12*10*$F461*$G461*((1-$L461)+$L461*$M461*$H461))</f>
        <v>0</v>
      </c>
      <c r="AI461" s="123"/>
      <c r="AJ461" s="143">
        <f>(AI461/12*2*$E461*$G461*((1-$L461)+$L461*$M461*$H461))+(AI461/12*10*$F461*$G461*((1-$L461)+$L461*$M461*$H461))</f>
        <v>0</v>
      </c>
      <c r="AK461" s="123"/>
      <c r="AL461" s="143">
        <f>(AK461/12*2*$E461*$G461*((1-$L461)+$L461*$N461*$H461))+(AK461/12*10*$F461*$G461*((1-$L461)+$L461*$N461*$H461))</f>
        <v>0</v>
      </c>
      <c r="AM461" s="132"/>
      <c r="AN461" s="143">
        <f>(AM461/12*2*$E461*$G461*((1-$L461)+$L461*$N461*$H461))+(AM461/12*10*$F461*$G461*((1-$L461)+$L461*$N461*$H461))</f>
        <v>0</v>
      </c>
      <c r="AO461" s="130"/>
      <c r="AP461" s="143">
        <f>(AO461/12*2*$E461*$G461*((1-$L461)+$L461*$N461*$H461))+(AO461/12*10*$F461*$G461*((1-$L461)+$L461*$N461*$H461))</f>
        <v>0</v>
      </c>
      <c r="AQ461" s="143">
        <v>0</v>
      </c>
      <c r="AR461" s="143">
        <v>0</v>
      </c>
      <c r="AS461" s="123"/>
      <c r="AT461" s="123"/>
      <c r="AU461" s="123"/>
      <c r="AV461" s="123"/>
      <c r="AW461" s="123"/>
      <c r="AX461" s="123"/>
      <c r="AY461" s="123">
        <v>0</v>
      </c>
      <c r="AZ461" s="123"/>
      <c r="BA461" s="123"/>
      <c r="BB461" s="123"/>
      <c r="BC461" s="123"/>
      <c r="BD461" s="123"/>
      <c r="BE461" s="123"/>
      <c r="BF461" s="123">
        <f>(BE461/12*10*$F461*$G461*$H461*$N461)</f>
        <v>0</v>
      </c>
      <c r="BG461" s="123"/>
      <c r="BH461" s="123"/>
      <c r="BI461" s="123"/>
      <c r="BJ461" s="123"/>
      <c r="BK461" s="123"/>
      <c r="BL461" s="127"/>
      <c r="BM461" s="123"/>
      <c r="BN461" s="143">
        <f>(BM461/12*2*$E461*$G461*((1-$L461)+$L461*$H461*$M461))+(BM461/12*10*$F461*$G461*((1-$L461)+$L461*$H461*$M461))</f>
        <v>0</v>
      </c>
      <c r="BO461" s="123"/>
      <c r="BP461" s="143">
        <f>(BO461/12*2*$E461*$G461*((1-$L461)+$L461*$H461*$M461))+(BO461/12*10*$F461*$G461*((1-$L461)+$L461*$H461*$M461))</f>
        <v>0</v>
      </c>
      <c r="BQ461" s="123"/>
      <c r="BR461" s="123"/>
      <c r="BS461" s="123"/>
      <c r="BT461" s="123"/>
      <c r="BU461" s="123"/>
      <c r="BV461" s="123"/>
      <c r="BW461" s="123"/>
      <c r="BX461" s="123"/>
      <c r="BY461" s="123"/>
      <c r="BZ461" s="123"/>
      <c r="CA461" s="123"/>
      <c r="CB461" s="123"/>
      <c r="CC461" s="123"/>
      <c r="CD461" s="123"/>
      <c r="CE461" s="123"/>
      <c r="CF461" s="123"/>
      <c r="CG461" s="132"/>
      <c r="CH461" s="123"/>
      <c r="CI461" s="123"/>
      <c r="CJ461" s="127"/>
      <c r="CK461" s="123"/>
      <c r="CL461" s="123"/>
      <c r="CM461" s="130"/>
      <c r="CN461" s="123"/>
      <c r="CO461" s="123"/>
      <c r="CP461" s="123"/>
      <c r="CQ461" s="123"/>
      <c r="CR461" s="123"/>
      <c r="CS461" s="91"/>
      <c r="CT461" s="127"/>
      <c r="CU461" s="127"/>
      <c r="CV461" s="127"/>
      <c r="CW461" s="126">
        <f t="shared" si="607"/>
        <v>1</v>
      </c>
      <c r="CX461" s="126">
        <f t="shared" si="607"/>
        <v>1293907.7167999998</v>
      </c>
    </row>
    <row r="462" spans="1:102" s="6" customFormat="1" ht="45" x14ac:dyDescent="0.25">
      <c r="A462" s="91"/>
      <c r="B462" s="116">
        <v>384</v>
      </c>
      <c r="C462" s="117" t="s">
        <v>1042</v>
      </c>
      <c r="D462" s="161" t="s">
        <v>1043</v>
      </c>
      <c r="E462" s="95">
        <v>28004</v>
      </c>
      <c r="F462" s="96">
        <v>29405</v>
      </c>
      <c r="G462" s="108">
        <v>0.5</v>
      </c>
      <c r="H462" s="107">
        <v>1</v>
      </c>
      <c r="I462" s="108"/>
      <c r="J462" s="108"/>
      <c r="K462" s="108"/>
      <c r="L462" s="63"/>
      <c r="M462" s="120">
        <v>1.4</v>
      </c>
      <c r="N462" s="120">
        <v>1.68</v>
      </c>
      <c r="O462" s="120">
        <v>2.23</v>
      </c>
      <c r="P462" s="121">
        <v>2.57</v>
      </c>
      <c r="Q462" s="286">
        <v>170</v>
      </c>
      <c r="R462" s="123">
        <f>(Q462/12*2*$E462*$G462*$H462*$M462*$R$11)+(Q462/12*10*$F462*$G462*$H462*$M462*$R$11)</f>
        <v>3818549.3499999996</v>
      </c>
      <c r="S462" s="124">
        <v>162</v>
      </c>
      <c r="T462" s="125">
        <f>(S462/12*2*$E462*$G462*$H462*$M462*$R$11)+(S462/12*10*$F462*$G462*$H462*$M462*$R$11)</f>
        <v>3638852.9100000006</v>
      </c>
      <c r="U462" s="123">
        <v>30</v>
      </c>
      <c r="V462" s="123">
        <f>(U462/12*2*$E462*$G462*$H462*$M462*$V$11)+(U462/12*10*$F462*$G462*$H462*$M462*$V$12)</f>
        <v>821620.97499999998</v>
      </c>
      <c r="W462" s="123"/>
      <c r="X462" s="126">
        <f>(W462/12*2*$E462*$G462*$H462*$M462*$X$11)+(W462/12*10*$F462*$G462*$H462*$M462*$X$12)</f>
        <v>0</v>
      </c>
      <c r="Y462" s="123">
        <v>92</v>
      </c>
      <c r="Z462" s="123">
        <f>(Y462/12*2*$E462*$G462*$H462*$M462*$Z$11)+(Y462/12*10*$F462*$G462*$H462*$M462*$Z$12)</f>
        <v>2519637.6566666667</v>
      </c>
      <c r="AA462" s="123"/>
      <c r="AB462" s="123">
        <f>(AA462/12*2*$E462*$G462*$H462*$M462*$AB$11)+(AA462/12*10*$F462*$G462*$H462*$M462*$AB$11)</f>
        <v>0</v>
      </c>
      <c r="AC462" s="123"/>
      <c r="AD462" s="123"/>
      <c r="AE462" s="123">
        <v>40</v>
      </c>
      <c r="AF462" s="127">
        <f>(AE462/12*2*$E462*$G462*$H462*$M462*$AF$11)+(AE462/12*10*$F462*$G462*$H462*$M462*$AF$11)</f>
        <v>898482.20000000007</v>
      </c>
      <c r="AG462" s="123">
        <v>140</v>
      </c>
      <c r="AH462" s="126">
        <f>(AG462/12*2*$E462*$G462*$H462*$M462*$AH$11)+(AG462/12*10*$F462*$G462*$H462*$M462*$AH$11)</f>
        <v>3144687.6999999997</v>
      </c>
      <c r="AI462" s="130">
        <v>217</v>
      </c>
      <c r="AJ462" s="123">
        <f>(AI462/12*2*$E462*$G462*$H462*$M462*$AJ$11)+(AI462/12*5*$F462*$G462*$H462*$M462*$AJ$12)+(AI462/12*5*$F462*$G462*$H462*$M462*$AJ$13)</f>
        <v>5723274.2758333329</v>
      </c>
      <c r="AK462" s="123">
        <v>79</v>
      </c>
      <c r="AL462" s="123">
        <f>(AK462/12*2*$E462*$G462*$H462*$N462*$AL$11)+(AK462/12*5*$F462*$G462*$H462*$N462*$AL$12)++(AK462/12*5*$F462*$G462*$H462*$N462*$AL$13)</f>
        <v>2500305.9969999995</v>
      </c>
      <c r="AM462" s="132">
        <v>52</v>
      </c>
      <c r="AN462" s="123">
        <f>(AM462/12*2*$E462*$G462*$H462*$N462*$AN$11)+(AM462/12*10*$F462*$G462*$H462*$N462*$AN$12)</f>
        <v>1708971.6279999998</v>
      </c>
      <c r="AO462" s="130"/>
      <c r="AP462" s="127">
        <f>(AO462/12*2*$E462*$G462*$H462*$N462*$AP$11)+(AO462/12*10*$F462*$G462*$H462*$N462*$AP$11)</f>
        <v>0</v>
      </c>
      <c r="AQ462" s="127">
        <v>1</v>
      </c>
      <c r="AR462" s="127">
        <v>13585.11</v>
      </c>
      <c r="AS462" s="123"/>
      <c r="AT462" s="123">
        <f>(AS462/12*2*$E462*$G462*$H462*$M462*$AT$11)+(AS462/12*10*$F462*$G462*$H462*$M462*$AT$11)</f>
        <v>0</v>
      </c>
      <c r="AU462" s="123"/>
      <c r="AV462" s="126">
        <f>(AU462/12*2*$E462*$G462*$H462*$M462*$AV$11)+(AU462/12*10*$F462*$G462*$H462*$M462*$AV$12)</f>
        <v>0</v>
      </c>
      <c r="AW462" s="123"/>
      <c r="AX462" s="123">
        <f>(AW462/12*2*$E462*$G462*$H462*$M462*$AX$11)+(AW462/12*10*$F462*$G462*$H462*$M462*$AX$12)</f>
        <v>0</v>
      </c>
      <c r="AY462" s="123">
        <v>45</v>
      </c>
      <c r="AZ462" s="123">
        <f>(AY462/12*2*$E462*$G462*$H462*$N462*$AZ$11)+(AY462/12*10*$F462*$G462*$H462*$N462*$AZ$11)</f>
        <v>1212950.9700000002</v>
      </c>
      <c r="BA462" s="123"/>
      <c r="BB462" s="123">
        <f>(BA462/12*2*$E462*$G462*$H462*$N462*$BB$11)+(BA462/12*10*$F462*$G462*$H462*$N462*$BB$12)</f>
        <v>0</v>
      </c>
      <c r="BC462" s="123">
        <v>97</v>
      </c>
      <c r="BD462" s="126">
        <f>(BC462/12*2*$E462*$G462*$H462*$N462*$BD$11)+(BC462/12*10*$F462*$G462*$H462*$N462*$BD$12)</f>
        <v>2297029.8400000003</v>
      </c>
      <c r="BE462" s="123"/>
      <c r="BF462" s="123">
        <f>(BE462/12*10*$F462*$G462*$H462*$N462*$BF$12)</f>
        <v>0</v>
      </c>
      <c r="BG462" s="123"/>
      <c r="BH462" s="123">
        <f>(BG462/12*2*$E462*$G462*$H462*$N462*$BH$11)+(BG462/12*10*$F462*$G462*$H462*$N462*$BH$11)</f>
        <v>0</v>
      </c>
      <c r="BI462" s="123"/>
      <c r="BJ462" s="126">
        <f>(BI462/12*2*$E462*$G462*$H462*$N462*$BJ$11)+(BI462/12*10*$F462*$G462*$H462*$N462*$BJ$11)</f>
        <v>0</v>
      </c>
      <c r="BK462" s="123">
        <v>15</v>
      </c>
      <c r="BL462" s="127">
        <f>(BK462/12*2*$E462*$G462*$H462*$N462*$BL$11)+(BK462/12*10*$F462*$G462*$H462*$N462*$BL$11)</f>
        <v>441073.08</v>
      </c>
      <c r="BM462" s="123"/>
      <c r="BN462" s="123">
        <f>(BM462/12*2*$E462*$G462*$H462*$M462*$BN$11)+(BM462/12*10*$F462*$G462*$H462*$M462*$BN$11)</f>
        <v>0</v>
      </c>
      <c r="BO462" s="123"/>
      <c r="BP462" s="123">
        <f>(BO462/12*2*$E462*$G462*$H462*$M462*$BP$11)+(BO462/12*10*$F462*$G462*$H462*$M462*$BP$12)</f>
        <v>0</v>
      </c>
      <c r="BQ462" s="123"/>
      <c r="BR462" s="123">
        <f>(BQ462/12*2*$E462*$G462*$H462*$M462*$BR$11)+(BQ462/12*10*$F462*$G462*$H462*$M462*$BR$11)</f>
        <v>0</v>
      </c>
      <c r="BS462" s="123">
        <v>15</v>
      </c>
      <c r="BT462" s="123">
        <f>(BS462/12*2*$E462*$G462*$H462*$N462*$BT$11)+(BS462/12*10*$F462*$G462*$H462*$N462*$BT$11)</f>
        <v>367560.9</v>
      </c>
      <c r="BU462" s="123"/>
      <c r="BV462" s="126">
        <f>(BU462/12*2*$E462*$G462*$H462*$M462*$BV$11)+(BU462/12*10*$F462*$G462*$H462*$M462*$BV$11)</f>
        <v>0</v>
      </c>
      <c r="BW462" s="123"/>
      <c r="BX462" s="123">
        <f>(BW462/12*2*$E462*$G462*$H462*$M462*$BX$11)+(BW462/12*10*$F462*$G462*$H462*$M462*$BX$11)</f>
        <v>0</v>
      </c>
      <c r="BY462" s="123"/>
      <c r="BZ462" s="123">
        <f>(BY462/12*2*$E462*$G462*$H462*$M462*$BZ$11)+(BY462/12*10*$F462*$G462*$H462*$M462*$BZ$11)</f>
        <v>0</v>
      </c>
      <c r="CA462" s="123">
        <v>4</v>
      </c>
      <c r="CB462" s="123">
        <f>(CA462/12*2*$E462*$G462*$H462*$M462*$CB$11)+(CA462/12*10*$F462*$G462*$H462*$M462*$CB$11)</f>
        <v>98016.239999999976</v>
      </c>
      <c r="CC462" s="123"/>
      <c r="CD462" s="123">
        <f>(CC462/12*2*$E462*$G462*$H462*$M462*$CD$11)+(CC462/12*10*$F462*$G462*$H462*$M462*$CD$11)</f>
        <v>0</v>
      </c>
      <c r="CE462" s="123"/>
      <c r="CF462" s="123">
        <f>(CE462/12*10*$F462*$G462*$H462*$N462*$CF$11)</f>
        <v>0</v>
      </c>
      <c r="CG462" s="132"/>
      <c r="CH462" s="123">
        <f>(CG462/12*2*$E462*$G462*$H462*$N462*$CH$11)+(CG462/12*10*$F462*$G462*$H462*$N462*$CH$11)</f>
        <v>0</v>
      </c>
      <c r="CI462" s="123"/>
      <c r="CJ462" s="127"/>
      <c r="CK462" s="123"/>
      <c r="CL462" s="123">
        <f>(CK462/12*2*$E462*$G462*$H462*$N462*$CL$11)+(CK462/12*10*$F462*$G462*$H462*$N462*$CL$12)</f>
        <v>0</v>
      </c>
      <c r="CM462" s="130"/>
      <c r="CN462" s="123">
        <f>(CM462/12*2*$E462*$G462*$H462*$N462*$CN$11)+(CM462/12*10*$F462*$G462*$H462*$N462*$CN$11)</f>
        <v>0</v>
      </c>
      <c r="CO462" s="123"/>
      <c r="CP462" s="123">
        <f>(CO462/12*2*$E462*$G462*$H462*$N462*$CP$11)+(CO462/12*10*$F462*$G462*$H462*$N462*$CP$11)</f>
        <v>0</v>
      </c>
      <c r="CQ462" s="123"/>
      <c r="CR462" s="123">
        <f>(CQ462/12*2*$E462*$G462*$H462*$O462*$CR$11)+(CQ462/12*10*$F462*$G462*$H462*$O462*$CR$11)</f>
        <v>0</v>
      </c>
      <c r="CS462" s="123"/>
      <c r="CT462" s="133">
        <f>(CS462/12*2*$E462*$G462*$H462*$P462*$CT$11)+(CS462/12*10*$F462*$G462*$H462*$P462*$CT$11)</f>
        <v>0</v>
      </c>
      <c r="CU462" s="127"/>
      <c r="CV462" s="123">
        <f>(CU462*$E462*$G462*$H462*$M462*CV$11)/12*6+(CU462*$E462*$G462*$H462*1*CV$11)/12*6</f>
        <v>0</v>
      </c>
      <c r="CW462" s="126">
        <f t="shared" si="607"/>
        <v>1159</v>
      </c>
      <c r="CX462" s="126">
        <f t="shared" si="607"/>
        <v>29204598.832499988</v>
      </c>
    </row>
    <row r="463" spans="1:102" s="6" customFormat="1" ht="60" x14ac:dyDescent="0.25">
      <c r="A463" s="91"/>
      <c r="B463" s="116">
        <v>385</v>
      </c>
      <c r="C463" s="243" t="s">
        <v>1044</v>
      </c>
      <c r="D463" s="241" t="s">
        <v>1045</v>
      </c>
      <c r="E463" s="95">
        <v>28004</v>
      </c>
      <c r="F463" s="96">
        <v>29405</v>
      </c>
      <c r="G463" s="156">
        <v>1.67</v>
      </c>
      <c r="H463" s="107">
        <v>1</v>
      </c>
      <c r="I463" s="108"/>
      <c r="J463" s="108"/>
      <c r="K463" s="108"/>
      <c r="L463" s="242">
        <v>0</v>
      </c>
      <c r="M463" s="120">
        <v>1.4</v>
      </c>
      <c r="N463" s="120">
        <v>1.68</v>
      </c>
      <c r="O463" s="120">
        <v>2.23</v>
      </c>
      <c r="P463" s="121">
        <v>2.57</v>
      </c>
      <c r="Q463" s="286">
        <v>10</v>
      </c>
      <c r="R463" s="143">
        <f>(Q463/12*2*$E463*$G463*((1-$L463)+$L463*$M463*$R$11*$H463))+(Q463/12*10*$F463*$G463*((1-$L463)+$L463*$M463*$R$11*$H463))</f>
        <v>487164.05000000005</v>
      </c>
      <c r="S463" s="124">
        <v>72</v>
      </c>
      <c r="T463" s="144">
        <f>(S463/12*2*$E463*$G463*((1-$L463)+$L463*$M463*$R$11*$H463))+(S463/12*10*$F463*$G463*((1-$L463)+$L463*$M463*$R$11*$H463))</f>
        <v>3507581.16</v>
      </c>
      <c r="U463" s="143">
        <v>25</v>
      </c>
      <c r="V463" s="143">
        <f>(U463/12*2*$E463*$G463*((1-$L463)+$L463*$M463*V$11*$H463))+(U463/12*10*$F463*$G463*((1-$L463)+$L463*$M463*V$12*$H463))</f>
        <v>1217910.125</v>
      </c>
      <c r="W463" s="123">
        <v>49</v>
      </c>
      <c r="X463" s="143">
        <f>(W463*$F463*$G463*((1-$L463)+$L463*$M463*$X$12*$H463))</f>
        <v>2406211.15</v>
      </c>
      <c r="Y463" s="123"/>
      <c r="Z463" s="143">
        <f>(Y463/12*2*$E463*$G463*((1-$L463)+$L463*$M463*$Z$11*$H463))+(Y463/12*10*$F463*$G463*((1-$L463)+$L463*$M463*$Z$12*$H463))</f>
        <v>0</v>
      </c>
      <c r="AA463" s="123"/>
      <c r="AB463" s="143">
        <f>(AA463/12*2*$E463*$G463*((1-$L463)+$L463*$M463*$AB$11*$H463))+(AA463/12*10*$F463*$G463*((1-$L463)+$L463*$M463*$AB$11*$H463))</f>
        <v>0</v>
      </c>
      <c r="AC463" s="123"/>
      <c r="AD463" s="123"/>
      <c r="AE463" s="123"/>
      <c r="AF463" s="143">
        <f>(AE463/12*2*$E463*$G463*((1-$L463)+$L463*$M463*AF$11*$H463))+(AE463/12*10*$F463*$G463*((1-$L463)+$L463*$M463*AF$11*$H463))</f>
        <v>0</v>
      </c>
      <c r="AG463" s="135">
        <v>0</v>
      </c>
      <c r="AH463" s="145">
        <f>(AG463/12*2*$E463*$G463*((1-$L463)+$L463*$H463*AH$11*$M463))+(AG463/12*10*$F463*$G463*((1-$L463)+$L463*$H463*AH$11*$M463))</f>
        <v>0</v>
      </c>
      <c r="AI463" s="123"/>
      <c r="AJ463" s="143">
        <f t="shared" ref="AJ463:AJ465" si="608">(AI463/12*2*$E463*$G463*((1-$L463)+$L463*$H463*AJ$11*$M463))+(AI463/12*5*$F463*$G463*((1-$L463)+$L463*$H463*AJ$12*$M463))+(AI463/12*5*$F463*$G463*((1-$L463)+$L463*$H463*AJ$13*$M463))</f>
        <v>0</v>
      </c>
      <c r="AK463" s="123"/>
      <c r="AL463" s="143">
        <f t="shared" ref="AL463:AL465" si="609">(AK463/12*2*$E463*$G463*((1-$L463)+$L463*$H463*AL$11*$N463))+(AK463/12*4*$F463*$G463*((1-$L463)+$L463*$H463*AL$12*$N463))+(AK463/12*6*$F463*$G463*((1-$L463)+$L463*$H463*AL$13*$N463))</f>
        <v>0</v>
      </c>
      <c r="AM463" s="132"/>
      <c r="AN463" s="143">
        <f>(AM463/12*2*$E463*$G463*((1-$L463)+$L463*$N463*$AN$11*H463))+(AM463/12*10*$F463*$G463*((1-$L463)+$L463*$N463*$AN$12*H463))</f>
        <v>0</v>
      </c>
      <c r="AO463" s="130"/>
      <c r="AP463" s="143">
        <f>(AO463/12*2*$E463*$G463*((1-$L463)+$L463*$H463*AP$11*$N463))+(AO463/12*10*$F463*$G463*((1-$L463)+$L463*$H463*AP$11*$N463))</f>
        <v>0</v>
      </c>
      <c r="AQ463" s="143">
        <v>0</v>
      </c>
      <c r="AR463" s="143">
        <v>0</v>
      </c>
      <c r="AS463" s="123"/>
      <c r="AT463" s="123"/>
      <c r="AU463" s="123"/>
      <c r="AV463" s="123"/>
      <c r="AW463" s="123"/>
      <c r="AX463" s="143">
        <f>(AW463/12*2*$E463*$G463*((1-$L463)+$L463*$H463*AX$11*$M463))+(AW463/12*10*$F463*$G463*((1-$L463)+$L463*$H463*AX$12*$M463))</f>
        <v>0</v>
      </c>
      <c r="AY463" s="123">
        <v>0</v>
      </c>
      <c r="AZ463" s="143">
        <f>(AY463/12*2*$E463*$G463*((1-$L463)+$L463*$N463*$H463*$AZ$11))+(AY463/12*10*$F463*$G463*((1-$L463)+$L463*$N463*$H463*$AZ$11))</f>
        <v>0</v>
      </c>
      <c r="BA463" s="123"/>
      <c r="BB463" s="143">
        <f>(BA463/12*2*$E463*$G463*((1-$L463)+$L463*$H463*BB$11*$N463))+(BA463/12*10*$F463*$G463*((1-$L463)+$L463*$H463*BB$12*$N463))</f>
        <v>0</v>
      </c>
      <c r="BC463" s="123"/>
      <c r="BD463" s="146">
        <f>(BC463/12*2*$E463*$G463*$H463*$N463*$BD$11)+(BC463/12*10*$F463*$G463*$H463*$N463*$BD$12)</f>
        <v>0</v>
      </c>
      <c r="BE463" s="123"/>
      <c r="BF463" s="143">
        <f>(BE463/12*2*$E463*$G463*((1-$L463)+$L463*$H463*BF$11*$N463))+(BE463/12*10*$F463*$G463*((1-$L463)+$L463*$H463*BF$12*$N463))</f>
        <v>0</v>
      </c>
      <c r="BG463" s="123"/>
      <c r="BH463" s="143">
        <f>(BG463/12*2*$E463*$G463*((1-$L463)+$L463*$H463*BH$11*$N463))+(BG463/12*10*$F463*$G463*((1-$L463)+$L463*$H463*BH$11*$N463))</f>
        <v>0</v>
      </c>
      <c r="BI463" s="123"/>
      <c r="BJ463" s="143">
        <f>(BI463/12*2*$E463*$G463*((1-$L463)+$L463*$H463*BJ$11*$N463))+(BI463/12*10*$F463*$G463*((1-$L463)+$L463*$H463*BJ$11*$N463))</f>
        <v>0</v>
      </c>
      <c r="BK463" s="123"/>
      <c r="BL463" s="143">
        <f>(BK463/12*2*$E463*$G463*((1-$L463)+$L463*$H463*BL$11*$N463))+(BK463/12*10*$F463*$G463*((1-$L463)+$L463*$H463*BL$11*$N463))</f>
        <v>0</v>
      </c>
      <c r="BM463" s="123"/>
      <c r="BN463" s="143">
        <f>(BM463/12*2*$E463*$G463*((1-$L463)+$L463*$H463*BN$11*$M463))+(BM463/12*10*$F463*$G463*((1-$L463)+$L463*$H463*BN$11*$M463))</f>
        <v>0</v>
      </c>
      <c r="BO463" s="123"/>
      <c r="BP463" s="143">
        <f>(BO463/12*2*$E463*$G463*((1-$L463)+$L463*$H463*BP$11*$M463))+(BO463/12*10*$F463*$G463*((1-$L463)+$L463*$H463*BP$12*$M463))</f>
        <v>0</v>
      </c>
      <c r="BQ463" s="123"/>
      <c r="BR463" s="123"/>
      <c r="BS463" s="123"/>
      <c r="BT463" s="143">
        <f>(BS463/12*2*$E463*$G463*((1-$L463)+$L463*$H463*BT$11*$N463))+(BS463/12*10*$F463*$G463*((1-$L463)+$L463*$H463*BT$11*$N463))</f>
        <v>0</v>
      </c>
      <c r="BU463" s="123"/>
      <c r="BV463" s="123"/>
      <c r="BW463" s="123"/>
      <c r="BX463" s="143">
        <f>(BW463/12*2*$E463*$G463*((1-$L463)+$L463*$H463*BX$11*$M463))+(BW463/12*10*$F463*$G463*((1-$L463)+$L463*$H463*BX$11*$M463))</f>
        <v>0</v>
      </c>
      <c r="BY463" s="123"/>
      <c r="BZ463" s="143">
        <f>(BY463/12*2*$E463*$G463*((1-$L463)+$L463*$H463*BZ$11*$M463))+(BY463/12*10*$F463*$G463*((1-$L463)+$L463*$H463*BZ$11*$M463))</f>
        <v>0</v>
      </c>
      <c r="CA463" s="123"/>
      <c r="CB463" s="143">
        <f>(CA463/12*2*$E463*$G463*((1-$L463)+$L463*$H463*CB$11*$M463))+(CA463/12*10*$F463*$G463*((1-$L463)+$L463*$H463*CB$11*$M463))</f>
        <v>0</v>
      </c>
      <c r="CC463" s="123"/>
      <c r="CD463" s="146">
        <f>(CC463/12*2*$E463*$G463*((1-$L463)+$L463*$M463*$CD$11*$H463))+(CC463/12*10*$F463*$G463*((1-$L463)+$L463*$M463*$CD$11*$H463))</f>
        <v>0</v>
      </c>
      <c r="CE463" s="123"/>
      <c r="CF463" s="143">
        <f>(CE463/12*10*$F463*$G463*((1-$L463)+$L463*$H463*CF$11*$N463))</f>
        <v>0</v>
      </c>
      <c r="CG463" s="132"/>
      <c r="CH463" s="143">
        <f>(CG463/12*2*$E463*$G463*((1-$L463)+$L463*$H463*CH$11*$N463))+(CG463/12*10*$F463*$G463*((1-$L463)+$L463*$H463*CH$11*$N463))</f>
        <v>0</v>
      </c>
      <c r="CI463" s="123"/>
      <c r="CJ463" s="127"/>
      <c r="CK463" s="123"/>
      <c r="CL463" s="123"/>
      <c r="CM463" s="130"/>
      <c r="CN463" s="143">
        <f>((CM463/12*2*$E463*$G463*((1-$L463)+$L463*$H463*CN$11*$N463)))+((CM463/12*10*$F463*$G463*((1-$L463)+$L463*$H463*CN$11*$N463)))</f>
        <v>0</v>
      </c>
      <c r="CO463" s="123"/>
      <c r="CP463" s="143">
        <f>(CO463/12*2*$E463*$G463*((1-$L463)+$L463*$H463*CP$11*$N463))+(CO463/12*10*$F463*$G463*((1-$L463)+$L463*$H463*CP$11*$N463))</f>
        <v>0</v>
      </c>
      <c r="CQ463" s="123"/>
      <c r="CR463" s="143">
        <f>(CQ463/12*2*$E463*$G463*((1-$L463)+$L463*$H463*CR$11*$O463))+(CQ463/12*10*$F463*$G463*((1-$L463)+$L463*$H463*CR$11*$O463))</f>
        <v>0</v>
      </c>
      <c r="CS463" s="123"/>
      <c r="CT463" s="143">
        <f>(CS463/12*2*$E463*$G463*((1-$L463)+$L463*$H463*CT$11*$P463))+(CS463/12*10*$F463*$G463*((1-$L463)+$L463*$H463*CT$11*$P463))</f>
        <v>0</v>
      </c>
      <c r="CU463" s="127"/>
      <c r="CV463" s="127"/>
      <c r="CW463" s="126">
        <f t="shared" si="607"/>
        <v>156</v>
      </c>
      <c r="CX463" s="126">
        <f t="shared" si="607"/>
        <v>7618866.4849999994</v>
      </c>
    </row>
    <row r="464" spans="1:102" s="6" customFormat="1" ht="60" x14ac:dyDescent="0.25">
      <c r="A464" s="91"/>
      <c r="B464" s="116">
        <v>386</v>
      </c>
      <c r="C464" s="243" t="s">
        <v>1046</v>
      </c>
      <c r="D464" s="241" t="s">
        <v>1047</v>
      </c>
      <c r="E464" s="95">
        <v>28004</v>
      </c>
      <c r="F464" s="96">
        <v>29405</v>
      </c>
      <c r="G464" s="156">
        <v>3.23</v>
      </c>
      <c r="H464" s="107">
        <v>1</v>
      </c>
      <c r="I464" s="108"/>
      <c r="J464" s="108"/>
      <c r="K464" s="108"/>
      <c r="L464" s="242">
        <v>0</v>
      </c>
      <c r="M464" s="120">
        <v>1.4</v>
      </c>
      <c r="N464" s="120">
        <v>1.68</v>
      </c>
      <c r="O464" s="120">
        <v>2.23</v>
      </c>
      <c r="P464" s="121">
        <v>2.57</v>
      </c>
      <c r="Q464" s="286">
        <v>1</v>
      </c>
      <c r="R464" s="143">
        <f>(Q464/12*2*$E464*$G464*((1-$L464)+$L464*$M464*$R$11*$H464))+(Q464/12*10*$F464*$G464*((1-$L464)+$L464*$M464*$R$11*$H464))</f>
        <v>94223.944999999992</v>
      </c>
      <c r="S464" s="124">
        <v>2</v>
      </c>
      <c r="T464" s="144">
        <f>(S464/12*2*$E464*$G464*((1-$L464)+$L464*$M464*$R$11*$H464))+(S464/12*10*$F464*$G464*((1-$L464)+$L464*$M464*$R$11*$H464))</f>
        <v>188447.88999999998</v>
      </c>
      <c r="U464" s="143"/>
      <c r="V464" s="143">
        <f>(U464/12*2*$E464*$G464*((1-$L464)+$L464*$M464*V$11*$H464))+(U464/12*10*$F464*$G464*((1-$L464)+$L464*$M464*V$12*$H464))</f>
        <v>0</v>
      </c>
      <c r="W464" s="123"/>
      <c r="X464" s="143">
        <f>(W464/12*2*$E464*$G464*((1-$L464)+$L464*$M464*$X$11*$H464))+(W464/12*10*$F464*$G464*((1-$L464)+$L464*$M464*$X$12*$H464))</f>
        <v>0</v>
      </c>
      <c r="Y464" s="123"/>
      <c r="Z464" s="143">
        <f>(Y464/12*2*$E464*$G464*((1-$L464)+$L464*$M464*$Z$11*$H464))+(Y464/12*10*$F464*$G464*((1-$L464)+$L464*$M464*$Z$12*$H464))</f>
        <v>0</v>
      </c>
      <c r="AA464" s="123"/>
      <c r="AB464" s="143">
        <f>(AA464/12*2*$E464*$G464*((1-$L464)+$L464*$M464*$AB$11*$H464))+(AA464/12*10*$F464*$G464*((1-$L464)+$L464*$M464*$AB$11*$H464))</f>
        <v>0</v>
      </c>
      <c r="AC464" s="123"/>
      <c r="AD464" s="123"/>
      <c r="AE464" s="123"/>
      <c r="AF464" s="143">
        <f>(AE464/12*2*$E464*$G464*((1-$L464)+$L464*$M464*AF$11*$H464))+(AE464/12*10*$F464*$G464*((1-$L464)+$L464*$M464*AF$11*$H464))</f>
        <v>0</v>
      </c>
      <c r="AG464" s="123">
        <v>0</v>
      </c>
      <c r="AH464" s="143">
        <f>(AG464/12*2*$E464*$G464*((1-$L464)+$L464*$H464*AH$11*$M464))+(AG464/12*10*$F464*$G464*((1-$L464)+$L464*$H464*AH$11*$M464))</f>
        <v>0</v>
      </c>
      <c r="AI464" s="123"/>
      <c r="AJ464" s="143">
        <f t="shared" si="608"/>
        <v>0</v>
      </c>
      <c r="AK464" s="123"/>
      <c r="AL464" s="143">
        <f t="shared" si="609"/>
        <v>0</v>
      </c>
      <c r="AM464" s="132"/>
      <c r="AN464" s="143">
        <f>(AM464/12*2*$E464*$G464*((1-$L464)+$L464*$N464*$AN$11*H464))+(AM464/12*10*$F464*$G464*((1-$L464)+$L464*$N464*$AN$12*H464))</f>
        <v>0</v>
      </c>
      <c r="AO464" s="130"/>
      <c r="AP464" s="143">
        <f>(AO464/12*2*$E464*$G464*((1-$L464)+$L464*$H464*AP$11*$N464))+(AO464/12*10*$F464*$G464*((1-$L464)+$L464*$H464*AP$11*$N464))</f>
        <v>0</v>
      </c>
      <c r="AQ464" s="143">
        <v>0</v>
      </c>
      <c r="AR464" s="143">
        <v>0</v>
      </c>
      <c r="AS464" s="123"/>
      <c r="AT464" s="123"/>
      <c r="AU464" s="123"/>
      <c r="AV464" s="123"/>
      <c r="AW464" s="123"/>
      <c r="AX464" s="143">
        <f>(AW464/12*2*$E464*$G464*((1-$L464)+$L464*$H464*AX$11*$M464))+(AW464/12*10*$F464*$G464*((1-$L464)+$L464*$H464*AX$12*$M464))</f>
        <v>0</v>
      </c>
      <c r="AY464" s="123">
        <v>0</v>
      </c>
      <c r="AZ464" s="143">
        <f>(AY464/12*2*$E464*$G464*((1-$L464)+$L464*$N464*$H464*$AZ$11))+(AY464/12*10*$F464*$G464*((1-$L464)+$L464*$N464*$H464*$AZ$11))</f>
        <v>0</v>
      </c>
      <c r="BA464" s="123"/>
      <c r="BB464" s="143">
        <f>(BA464/12*2*$E464*$G464*((1-$L464)+$L464*$H464*BB$11*$N464))+(BA464/12*10*$F464*$G464*((1-$L464)+$L464*$H464*BB$12*$N464))</f>
        <v>0</v>
      </c>
      <c r="BC464" s="123"/>
      <c r="BD464" s="146">
        <f>(BC464/12*2*$E464*$G464*$H464*$N464*$BD$11)+(BC464/12*10*$F464*$G464*$H464*$N464*$BD$12)</f>
        <v>0</v>
      </c>
      <c r="BE464" s="123"/>
      <c r="BF464" s="143">
        <f>(BE464/12*2*$E464*$G464*((1-$L464)+$L464*$H464*BF$11*$N464))+(BE464/12*10*$F464*$G464*((1-$L464)+$L464*$H464*BF$12*$N464))</f>
        <v>0</v>
      </c>
      <c r="BG464" s="123"/>
      <c r="BH464" s="143">
        <f>(BG464/12*2*$E464*$G464*((1-$L464)+$L464*$H464*BH$11*$N464))+(BG464/12*10*$F464*$G464*((1-$L464)+$L464*$H464*BH$11*$N464))</f>
        <v>0</v>
      </c>
      <c r="BI464" s="123"/>
      <c r="BJ464" s="143">
        <f>(BI464/12*2*$E464*$G464*((1-$L464)+$L464*$H464*BJ$11*$N464))+(BI464/12*10*$F464*$G464*((1-$L464)+$L464*$H464*BJ$11*$N464))</f>
        <v>0</v>
      </c>
      <c r="BK464" s="123"/>
      <c r="BL464" s="143">
        <f>(BK464/12*2*$E464*$G464*((1-$L464)+$L464*$H464*BL$11*$N464))+(BK464/12*10*$F464*$G464*((1-$L464)+$L464*$H464*BL$11*$N464))</f>
        <v>0</v>
      </c>
      <c r="BM464" s="123"/>
      <c r="BN464" s="143">
        <f>(BM464/12*2*$E464*$G464*((1-$L464)+$L464*$H464*BN$11*$M464))+(BM464/12*10*$F464*$G464*((1-$L464)+$L464*$H464*BN$11*$M464))</f>
        <v>0</v>
      </c>
      <c r="BO464" s="123"/>
      <c r="BP464" s="143">
        <f>(BO464/12*2*$E464*$G464*((1-$L464)+$L464*$H464*BP$11*$M464))+(BO464/12*10*$F464*$G464*((1-$L464)+$L464*$H464*BP$12*$M464))</f>
        <v>0</v>
      </c>
      <c r="BQ464" s="123"/>
      <c r="BR464" s="123"/>
      <c r="BS464" s="123"/>
      <c r="BT464" s="143">
        <f>(BS464/12*2*$E464*$G464*((1-$L464)+$L464*$H464*BT$11*$N464))+(BS464/12*10*$F464*$G464*((1-$L464)+$L464*$H464*BT$11*$N464))</f>
        <v>0</v>
      </c>
      <c r="BU464" s="123"/>
      <c r="BV464" s="123"/>
      <c r="BW464" s="123"/>
      <c r="BX464" s="143">
        <f>(BW464/12*2*$E464*$G464*((1-$L464)+$L464*$H464*BX$11*$M464))+(BW464/12*10*$F464*$G464*((1-$L464)+$L464*$H464*BX$11*$M464))</f>
        <v>0</v>
      </c>
      <c r="BY464" s="123"/>
      <c r="BZ464" s="143">
        <f>(BY464/12*2*$E464*$G464*((1-$L464)+$L464*$H464*BZ$11*$M464))+(BY464/12*10*$F464*$G464*((1-$L464)+$L464*$H464*BZ$11*$M464))</f>
        <v>0</v>
      </c>
      <c r="CA464" s="123"/>
      <c r="CB464" s="143">
        <f>(CA464/12*2*$E464*$G464*((1-$L464)+$L464*$H464*CB$11*$M464))+(CA464/12*10*$F464*$G464*((1-$L464)+$L464*$H464*CB$11*$M464))</f>
        <v>0</v>
      </c>
      <c r="CC464" s="123"/>
      <c r="CD464" s="146">
        <f>(CC464/12*2*$E464*$G464*((1-$L464)+$L464*$M464*$CD$11*$H464))+(CC464/12*10*$F464*$G464*((1-$L464)+$L464*$M464*$CD$11*$H464))</f>
        <v>0</v>
      </c>
      <c r="CE464" s="123"/>
      <c r="CF464" s="143">
        <f>(CE464/12*10*$F464*$G464*((1-$L464)+$L464*$H464*CF$11*$N464))</f>
        <v>0</v>
      </c>
      <c r="CG464" s="132"/>
      <c r="CH464" s="143">
        <f>(CG464/12*2*$E464*$G464*((1-$L464)+$L464*$H464*CH$11*$N464))+(CG464/12*10*$F464*$G464*((1-$L464)+$L464*$H464*CH$11*$N464))</f>
        <v>0</v>
      </c>
      <c r="CI464" s="123"/>
      <c r="CJ464" s="127"/>
      <c r="CK464" s="123"/>
      <c r="CL464" s="123"/>
      <c r="CM464" s="130"/>
      <c r="CN464" s="143">
        <f>((CM464/12*2*$E464*$G464*((1-$L464)+$L464*$H464*CN$11*$N464)))+((CM464/12*10*$F464*$G464*((1-$L464)+$L464*$H464*CN$11*$N464)))</f>
        <v>0</v>
      </c>
      <c r="CO464" s="123"/>
      <c r="CP464" s="143">
        <f>(CO464/12*2*$E464*$G464*((1-$L464)+$L464*$H464*CP$11*$N464))+(CO464/12*10*$F464*$G464*((1-$L464)+$L464*$H464*CP$11*$N464))</f>
        <v>0</v>
      </c>
      <c r="CQ464" s="123"/>
      <c r="CR464" s="143">
        <f>(CQ464/12*2*$E464*$G464*((1-$L464)+$L464*$H464*CR$11*$O464))+(CQ464/12*10*$F464*$G464*((1-$L464)+$L464*$H464*CR$11*$O464))</f>
        <v>0</v>
      </c>
      <c r="CS464" s="123"/>
      <c r="CT464" s="143">
        <f>(CS464/12*2*$E464*$G464*((1-$L464)+$L464*$H464*CT$11*$P464))+(CS464/12*10*$F464*$G464*((1-$L464)+$L464*$H464*CT$11*$P464))</f>
        <v>0</v>
      </c>
      <c r="CU464" s="127"/>
      <c r="CV464" s="127"/>
      <c r="CW464" s="126">
        <f t="shared" si="607"/>
        <v>3</v>
      </c>
      <c r="CX464" s="126">
        <f t="shared" si="607"/>
        <v>282671.83499999996</v>
      </c>
    </row>
    <row r="465" spans="1:102" s="6" customFormat="1" ht="60" x14ac:dyDescent="0.25">
      <c r="A465" s="91"/>
      <c r="B465" s="116">
        <v>387</v>
      </c>
      <c r="C465" s="243" t="s">
        <v>1048</v>
      </c>
      <c r="D465" s="241" t="s">
        <v>1049</v>
      </c>
      <c r="E465" s="95">
        <v>28004</v>
      </c>
      <c r="F465" s="96">
        <v>29405</v>
      </c>
      <c r="G465" s="156">
        <v>9.91</v>
      </c>
      <c r="H465" s="107">
        <v>1</v>
      </c>
      <c r="I465" s="108"/>
      <c r="J465" s="108"/>
      <c r="K465" s="108"/>
      <c r="L465" s="242">
        <v>0</v>
      </c>
      <c r="M465" s="120">
        <v>1.4</v>
      </c>
      <c r="N465" s="120">
        <v>1.68</v>
      </c>
      <c r="O465" s="120">
        <v>2.23</v>
      </c>
      <c r="P465" s="121">
        <v>2.57</v>
      </c>
      <c r="Q465" s="286">
        <v>2</v>
      </c>
      <c r="R465" s="143">
        <f>(Q465/12*2*$E465*$G465*((1-$L465)+$L465*$M465*$R$11*$H465))+(Q465/12*10*$F465*$G465*((1-$L465)+$L465*$M465*$R$11*$H465))</f>
        <v>578179.13</v>
      </c>
      <c r="S465" s="124">
        <f>5-3</f>
        <v>2</v>
      </c>
      <c r="T465" s="144">
        <f>(S465/12*2*$E465*$G465*((1-$L465)+$L465*$M465*$R$11*$H465))+(S465/12*10*$F465*$G465*((1-$L465)+$L465*$M465*$R$11*$H465))</f>
        <v>578179.13</v>
      </c>
      <c r="U465" s="143">
        <v>5</v>
      </c>
      <c r="V465" s="143">
        <f>(U465/12*2*$E465*$G465*((1-$L465)+$L465*$M465*V$11*$H465))+(U465/12*10*$F465*$G465*((1-$L465)+$L465*$M465*V$12*$H465))</f>
        <v>1445447.8250000002</v>
      </c>
      <c r="W465" s="123"/>
      <c r="X465" s="143">
        <f>(W465/12*2*$E465*$G465*((1-$L465)+$L465*$M465*$X$11*$H465))+(W465/12*10*$F465*$G465*((1-$L465)+$L465*$M465*$X$12*$H465))</f>
        <v>0</v>
      </c>
      <c r="Y465" s="123"/>
      <c r="Z465" s="143">
        <f>(Y465/12*2*$E465*$G465*((1-$L465)+$L465*$M465*$Z$11*$H465))+(Y465/12*10*$F465*$G465*((1-$L465)+$L465*$M465*$Z$12*$H465))</f>
        <v>0</v>
      </c>
      <c r="AA465" s="123"/>
      <c r="AB465" s="143">
        <f>(AA465/12*2*$E465*$G465*((1-$L465)+$L465*$M465*$AB$11*$H465))+(AA465/12*10*$F465*$G465*((1-$L465)+$L465*$M465*$AB$11*$H465))</f>
        <v>0</v>
      </c>
      <c r="AC465" s="123"/>
      <c r="AD465" s="123"/>
      <c r="AE465" s="123"/>
      <c r="AF465" s="143">
        <f>(AE465/12*2*$E465*$G465*((1-$L465)+$L465*$M465*AF$11*$H465))+(AE465/12*10*$F465*$G465*((1-$L465)+$L465*$M465*AF$11*$H465))</f>
        <v>0</v>
      </c>
      <c r="AG465" s="123">
        <v>0</v>
      </c>
      <c r="AH465" s="143">
        <f>(AG465/12*2*$E465*$G465*((1-$L465)+$L465*$H465*AH$11*$M465))+(AG465/12*10*$F465*$G465*((1-$L465)+$L465*$H465*AH$11*$M465))</f>
        <v>0</v>
      </c>
      <c r="AI465" s="123"/>
      <c r="AJ465" s="143">
        <f t="shared" si="608"/>
        <v>0</v>
      </c>
      <c r="AK465" s="123"/>
      <c r="AL465" s="143">
        <f t="shared" si="609"/>
        <v>0</v>
      </c>
      <c r="AM465" s="132"/>
      <c r="AN465" s="143">
        <f>(AM465/12*2*$E465*$G465*((1-$L465)+$L465*$N465*$AN$11*H465))+(AM465/12*10*$F465*$G465*((1-$L465)+$L465*$N465*$AN$12*H465))</f>
        <v>0</v>
      </c>
      <c r="AO465" s="130"/>
      <c r="AP465" s="143">
        <f>(AO465/12*2*$E465*$G465*((1-$L465)+$L465*$H465*AP$11*$N465))+(AO465/12*10*$F465*$G465*((1-$L465)+$L465*$H465*AP$11*$N465))</f>
        <v>0</v>
      </c>
      <c r="AQ465" s="143">
        <v>0</v>
      </c>
      <c r="AR465" s="143">
        <v>0</v>
      </c>
      <c r="AS465" s="123"/>
      <c r="AT465" s="123"/>
      <c r="AU465" s="123"/>
      <c r="AV465" s="123"/>
      <c r="AW465" s="123"/>
      <c r="AX465" s="143">
        <f>(AW465/12*2*$E465*$G465*((1-$L465)+$L465*$H465*AX$11*$M465))+(AW465/12*10*$F465*$G465*((1-$L465)+$L465*$H465*AX$12*$M465))</f>
        <v>0</v>
      </c>
      <c r="AY465" s="123">
        <v>0</v>
      </c>
      <c r="AZ465" s="143">
        <f>(AY465/12*2*$E465*$G465*((1-$L465)+$L465*$N465*$H465*$AZ$11))+(AY465/12*10*$F465*$G465*((1-$L465)+$L465*$N465*$H465*$AZ$11))</f>
        <v>0</v>
      </c>
      <c r="BA465" s="123"/>
      <c r="BB465" s="143">
        <f>(BA465/12*2*$E465*$G465*((1-$L465)+$L465*$H465*BB$11*$N465))+(BA465/12*10*$F465*$G465*((1-$L465)+$L465*$H465*BB$12*$N465))</f>
        <v>0</v>
      </c>
      <c r="BC465" s="123"/>
      <c r="BD465" s="146">
        <f>(BC465/12*2*$E465*$G465*$H465*$N465*$BD$11)+(BC465/12*10*$F465*$G465*$H465*$N465*$BD$12)</f>
        <v>0</v>
      </c>
      <c r="BE465" s="123"/>
      <c r="BF465" s="143">
        <f>(BE465/12*2*$E465*$G465*((1-$L465)+$L465*$H465*BF$11*$N465))+(BE465/12*10*$F465*$G465*((1-$L465)+$L465*$H465*BF$12*$N465))</f>
        <v>0</v>
      </c>
      <c r="BG465" s="123"/>
      <c r="BH465" s="143">
        <f>(BG465/12*2*$E465*$G465*((1-$L465)+$L465*$H465*BH$11*$N465))+(BG465/12*10*$F465*$G465*((1-$L465)+$L465*$H465*BH$11*$N465))</f>
        <v>0</v>
      </c>
      <c r="BI465" s="123"/>
      <c r="BJ465" s="143">
        <f>(BI465/12*2*$E465*$G465*((1-$L465)+$L465*$H465*BJ$11*$N465))+(BI465/12*10*$F465*$G465*((1-$L465)+$L465*$H465*BJ$11*$N465))</f>
        <v>0</v>
      </c>
      <c r="BK465" s="123"/>
      <c r="BL465" s="143">
        <f>(BK465/12*2*$E465*$G465*((1-$L465)+$L465*$H465*BL$11*$N465))+(BK465/12*10*$F465*$G465*((1-$L465)+$L465*$H465*BL$11*$N465))</f>
        <v>0</v>
      </c>
      <c r="BM465" s="123"/>
      <c r="BN465" s="143">
        <f>(BM465/12*2*$E465*$G465*((1-$L465)+$L465*$H465*BN$11*$M465))+(BM465/12*10*$F465*$G465*((1-$L465)+$L465*$H465*BN$11*$M465))</f>
        <v>0</v>
      </c>
      <c r="BO465" s="123"/>
      <c r="BP465" s="143">
        <f>(BO465/12*2*$E465*$G465*((1-$L465)+$L465*$H465*BP$11*$M465))+(BO465/12*10*$F465*$G465*((1-$L465)+$L465*$H465*BP$12*$M465))</f>
        <v>0</v>
      </c>
      <c r="BQ465" s="123"/>
      <c r="BR465" s="123"/>
      <c r="BS465" s="123"/>
      <c r="BT465" s="143">
        <f>(BS465/12*2*$E465*$G465*((1-$L465)+$L465*$H465*BT$11*$N465))+(BS465/12*10*$F465*$G465*((1-$L465)+$L465*$H465*BT$11*$N465))</f>
        <v>0</v>
      </c>
      <c r="BU465" s="123"/>
      <c r="BV465" s="123"/>
      <c r="BW465" s="123"/>
      <c r="BX465" s="143">
        <f>(BW465/12*2*$E465*$G465*((1-$L465)+$L465*$H465*BX$11*$M465))+(BW465/12*10*$F465*$G465*((1-$L465)+$L465*$H465*BX$11*$M465))</f>
        <v>0</v>
      </c>
      <c r="BY465" s="123"/>
      <c r="BZ465" s="143">
        <f>(BY465/12*2*$E465*$G465*((1-$L465)+$L465*$H465*BZ$11*$M465))+(BY465/12*10*$F465*$G465*((1-$L465)+$L465*$H465*BZ$11*$M465))</f>
        <v>0</v>
      </c>
      <c r="CA465" s="123"/>
      <c r="CB465" s="143">
        <f>(CA465/12*2*$E465*$G465*((1-$L465)+$L465*$H465*CB$11*$M465))+(CA465/12*10*$F465*$G465*((1-$L465)+$L465*$H465*CB$11*$M465))</f>
        <v>0</v>
      </c>
      <c r="CC465" s="123"/>
      <c r="CD465" s="146">
        <f>(CC465/12*2*$E465*$G465*((1-$L465)+$L465*$M465*$CD$11*$H465))+(CC465/12*10*$F465*$G465*((1-$L465)+$L465*$M465*$CD$11*$H465))</f>
        <v>0</v>
      </c>
      <c r="CE465" s="123"/>
      <c r="CF465" s="143">
        <f>(CE465/12*10*$F465*$G465*((1-$L465)+$L465*$H465*CF$11*$N465))</f>
        <v>0</v>
      </c>
      <c r="CG465" s="132"/>
      <c r="CH465" s="143">
        <f>(CG465/12*2*$E465*$G465*((1-$L465)+$L465*$H465*CH$11*$N465))+(CG465/12*10*$F465*$G465*((1-$L465)+$L465*$H465*CH$11*$N465))</f>
        <v>0</v>
      </c>
      <c r="CI465" s="123"/>
      <c r="CJ465" s="127"/>
      <c r="CK465" s="123"/>
      <c r="CL465" s="123"/>
      <c r="CM465" s="130"/>
      <c r="CN465" s="143">
        <f>((CM465/12*2*$E465*$G465*((1-$L465)+$L465*$H465*CN$11*$N465)))+((CM465/12*10*$F465*$G465*((1-$L465)+$L465*$H465*CN$11*$N465)))</f>
        <v>0</v>
      </c>
      <c r="CO465" s="123"/>
      <c r="CP465" s="143">
        <f>(CO465/12*2*$E465*$G465*((1-$L465)+$L465*$H465*CP$11*$N465))+(CO465/12*10*$F465*$G465*((1-$L465)+$L465*$H465*CP$11*$N465))</f>
        <v>0</v>
      </c>
      <c r="CQ465" s="123"/>
      <c r="CR465" s="143">
        <f>(CQ465/12*2*$E465*$G465*((1-$L465)+$L465*$H465*CR$11*$O465))+(CQ465/12*10*$F465*$G465*((1-$L465)+$L465*$H465*CR$11*$O465))</f>
        <v>0</v>
      </c>
      <c r="CS465" s="123"/>
      <c r="CT465" s="143">
        <f>(CS465/12*2*$E465*$G465*((1-$L465)+$L465*$H465*CT$11*$P465))+(CS465/12*10*$F465*$G465*((1-$L465)+$L465*$H465*CT$11*$P465))</f>
        <v>0</v>
      </c>
      <c r="CU465" s="127"/>
      <c r="CV465" s="127"/>
      <c r="CW465" s="126">
        <f t="shared" si="607"/>
        <v>9</v>
      </c>
      <c r="CX465" s="126">
        <f t="shared" si="607"/>
        <v>2601806.085</v>
      </c>
    </row>
    <row r="466" spans="1:102" s="6" customFormat="1" ht="22.5" customHeight="1" x14ac:dyDescent="0.25">
      <c r="A466" s="91"/>
      <c r="B466" s="116">
        <v>388</v>
      </c>
      <c r="C466" s="243" t="s">
        <v>1050</v>
      </c>
      <c r="D466" s="241" t="s">
        <v>1051</v>
      </c>
      <c r="E466" s="95">
        <v>28004</v>
      </c>
      <c r="F466" s="96">
        <v>29405</v>
      </c>
      <c r="G466" s="156">
        <v>2.46</v>
      </c>
      <c r="H466" s="107">
        <v>1</v>
      </c>
      <c r="I466" s="108"/>
      <c r="J466" s="108"/>
      <c r="K466" s="108"/>
      <c r="L466" s="142">
        <v>0.70660000000000001</v>
      </c>
      <c r="M466" s="120">
        <v>1.4</v>
      </c>
      <c r="N466" s="120">
        <v>1.68</v>
      </c>
      <c r="O466" s="120">
        <v>2.23</v>
      </c>
      <c r="P466" s="121">
        <v>2.57</v>
      </c>
      <c r="Q466" s="286">
        <v>0</v>
      </c>
      <c r="R466" s="143">
        <f>(Q466/12*2*$E466*$G466*((1-$L466)+$L466*$M466*H466))+(Q466/12*10*$F466*$G466*((1-$L466)+$L466*$M466*H466))</f>
        <v>0</v>
      </c>
      <c r="S466" s="124"/>
      <c r="T466" s="125"/>
      <c r="U466" s="143"/>
      <c r="V466" s="143">
        <f>(U466/12*2*$E466*$G466*((1-$L466)+$L466*$M466*$H466))+(U466/12*10*$F466*$G466*((1-$L466)+$L466*$M466*$H466))</f>
        <v>0</v>
      </c>
      <c r="W466" s="123"/>
      <c r="X466" s="143">
        <f>(W466/12*2*$E466*$G466*((1-$L466)+$L466*$M466*$H466))+(W466/12*10*$F466*$G466*((1-$L466)+$L466*$M466*$H466))</f>
        <v>0</v>
      </c>
      <c r="Y466" s="123">
        <f>20+2</f>
        <v>22</v>
      </c>
      <c r="Z466" s="143">
        <f>(Y466/12*2*$E466*$G466*((1-$L466)+$L466*$M466*$H466))+(Y466/12*10*$F466*$G466*((1-$L466)+$L466*$M466*$H466))</f>
        <v>2024982.7529711998</v>
      </c>
      <c r="AA466" s="123"/>
      <c r="AB466" s="143">
        <f>(AA466/12*2*$E466*$G466*((1-$L466)+$L466*$M466*$H466))+(AA466/12*10*$F466*$G466*((1-$L466)+$L466*$M466*$H466))</f>
        <v>0</v>
      </c>
      <c r="AC466" s="123"/>
      <c r="AD466" s="123"/>
      <c r="AE466" s="123"/>
      <c r="AF466" s="143">
        <f>(AE466/12*2*$E466*$G466*((1-$L466)+$L466*$M466*$H466))+(AE466/12*10*$F466*$G466*((1-$L466)+$L466*$M466*$H466))</f>
        <v>0</v>
      </c>
      <c r="AG466" s="123">
        <v>0</v>
      </c>
      <c r="AH466" s="143">
        <f>(AG466/12*2*$E466*$G466*((1-$L466)+$L466*$M466*$H466))+(AG466/12*10*$F466*$G466*((1-$L466)+$L466*$M466*$H466))</f>
        <v>0</v>
      </c>
      <c r="AI466" s="123"/>
      <c r="AJ466" s="143">
        <f>(AI466/12*2*$E466*$G466*((1-$L466)+$L466*$M466*$H466))+(AI466/12*10*$F466*$G466*((1-$L466)+$L466*$M466*$H466))</f>
        <v>0</v>
      </c>
      <c r="AK466" s="123"/>
      <c r="AL466" s="143">
        <f>(AK466/12*2*$E466*$G466*((1-$L466)+$L466*$N466*$H466))+(AK466/12*10*$F466*$G466*((1-$L466)+$L466*$N466*$H466))</f>
        <v>0</v>
      </c>
      <c r="AM466" s="132"/>
      <c r="AN466" s="143">
        <f>(AM466/12*2*$E466*$G466*((1-$L466)+$L466*$N466*$H466))+(AM466/12*10*$F466*$G466*((1-$L466)+$L466*$N466*$H466))</f>
        <v>0</v>
      </c>
      <c r="AO466" s="130"/>
      <c r="AP466" s="143">
        <f>(AO466/12*2*$E466*$G466*((1-$L466)+$L466*$N466*$H466))+(AO466/12*10*$F466*$G466*((1-$L466)+$L466*$N466*$H466))</f>
        <v>0</v>
      </c>
      <c r="AQ466" s="143">
        <v>0</v>
      </c>
      <c r="AR466" s="143">
        <v>0</v>
      </c>
      <c r="AS466" s="123"/>
      <c r="AT466" s="123"/>
      <c r="AU466" s="123"/>
      <c r="AV466" s="123"/>
      <c r="AW466" s="123"/>
      <c r="AX466" s="123"/>
      <c r="AY466" s="123">
        <v>0</v>
      </c>
      <c r="AZ466" s="123"/>
      <c r="BA466" s="123"/>
      <c r="BB466" s="123"/>
      <c r="BC466" s="123"/>
      <c r="BD466" s="123"/>
      <c r="BE466" s="123"/>
      <c r="BF466" s="123">
        <f>(BE466/12*10*$F466*$G466*$H466*$N466)</f>
        <v>0</v>
      </c>
      <c r="BG466" s="123"/>
      <c r="BH466" s="123"/>
      <c r="BI466" s="123"/>
      <c r="BJ466" s="123"/>
      <c r="BK466" s="123"/>
      <c r="BL466" s="127"/>
      <c r="BM466" s="123"/>
      <c r="BN466" s="143">
        <f>(BM466/12*2*$E466*$G466*((1-$L466)+$L466*$H466*$M466))+(BM466/12*10*$F466*$G466*((1-$L466)+$L466*$H466*$M466))</f>
        <v>0</v>
      </c>
      <c r="BO466" s="123"/>
      <c r="BP466" s="143">
        <f>(BO466/12*2*$E466*$G466*((1-$L466)+$L466*$H466*$M466))+(BO466/12*10*$F466*$G466*((1-$L466)+$L466*$H466*$M466))</f>
        <v>0</v>
      </c>
      <c r="BQ466" s="123"/>
      <c r="BR466" s="123"/>
      <c r="BS466" s="123"/>
      <c r="BT466" s="123"/>
      <c r="BU466" s="123"/>
      <c r="BV466" s="123"/>
      <c r="BW466" s="123"/>
      <c r="BX466" s="123"/>
      <c r="BY466" s="123"/>
      <c r="BZ466" s="123"/>
      <c r="CA466" s="123"/>
      <c r="CB466" s="123"/>
      <c r="CC466" s="123"/>
      <c r="CD466" s="123"/>
      <c r="CE466" s="123"/>
      <c r="CF466" s="123"/>
      <c r="CG466" s="132"/>
      <c r="CH466" s="143"/>
      <c r="CI466" s="123"/>
      <c r="CJ466" s="127">
        <f>(CI466*$E466*$G466*$H466*$N466)</f>
        <v>0</v>
      </c>
      <c r="CK466" s="123"/>
      <c r="CL466" s="123"/>
      <c r="CM466" s="130"/>
      <c r="CN466" s="123"/>
      <c r="CO466" s="123"/>
      <c r="CP466" s="123"/>
      <c r="CQ466" s="123"/>
      <c r="CR466" s="123"/>
      <c r="CS466" s="123"/>
      <c r="CT466" s="143"/>
      <c r="CU466" s="127"/>
      <c r="CV466" s="127"/>
      <c r="CW466" s="126">
        <f>SUM(Q466,S466,U466,W466,Y466,AA466,AC466,AE466,AG466,AM466,BQ466,AI466,AU466,CC466,AW466,AY466,AK466,BC466,AO466,AQ466,BE466,CE466,BG466,BI466,BK466,BS466,BM466,BO466,BU466,BW466,BY466,CA466,CG466,BA466,AS466,CI466,CK466,CM466,CO466,CQ466,CS466,CU466)</f>
        <v>22</v>
      </c>
      <c r="CX466" s="126">
        <f>SUM(R466,T466,V466,X466,Z466,AB466,AD466,AF466,AH466,AN466,BR466,AJ466,AV466,CD466,AX466,AZ466,AL466,BD466,AP466,AR466,BF466,CF466,BH466,BJ466,BL466,BT466,BN466,BP466,BV466,BX466,BZ466,CB466,CH466,BB466,AT466,CJ466,CL466,CN466,CP466,CR466,CT466,CV466)</f>
        <v>2024982.7529711998</v>
      </c>
    </row>
    <row r="467" spans="1:102" s="6" customFormat="1" ht="49.5" customHeight="1" x14ac:dyDescent="0.25">
      <c r="A467" s="91"/>
      <c r="B467" s="116">
        <v>389</v>
      </c>
      <c r="C467" s="243" t="s">
        <v>1052</v>
      </c>
      <c r="D467" s="241" t="s">
        <v>1053</v>
      </c>
      <c r="E467" s="95">
        <v>28004</v>
      </c>
      <c r="F467" s="96">
        <v>29405</v>
      </c>
      <c r="G467" s="156">
        <v>1.52</v>
      </c>
      <c r="H467" s="107">
        <v>1</v>
      </c>
      <c r="I467" s="108"/>
      <c r="J467" s="108"/>
      <c r="K467" s="108"/>
      <c r="L467" s="142">
        <v>5.8500000000000003E-2</v>
      </c>
      <c r="M467" s="120">
        <v>1.4</v>
      </c>
      <c r="N467" s="120">
        <v>1.68</v>
      </c>
      <c r="O467" s="120">
        <v>2.23</v>
      </c>
      <c r="P467" s="121">
        <v>2.57</v>
      </c>
      <c r="Q467" s="286">
        <v>0</v>
      </c>
      <c r="R467" s="143">
        <f>(Q467/12*2*$E467*$G467*((1-$L467)+$L467*$M467*$R$11*$H467))+(Q467/12*10*$F467*$G467*((1-$L467)+$L467*$M467*$R$11*$H467))</f>
        <v>0</v>
      </c>
      <c r="S467" s="157"/>
      <c r="T467" s="144">
        <f>(S467/12*2*$E467*$G467*((1-$L467)+$L467*$M467*$R$11*$H467))+(S467/12*10*$F467*$G467*((1-$L467)+$L467*$M467*$R$11*$H467))</f>
        <v>0</v>
      </c>
      <c r="U467" s="143"/>
      <c r="V467" s="143">
        <f>(U467/12*2*$E467*$G467*((1-$L467)+$L467*$M467*V$11*$H467))+(U467/12*10*$F467*$G467*((1-$L467)+$L467*$M467*V$12*$H467))</f>
        <v>0</v>
      </c>
      <c r="W467" s="123"/>
      <c r="X467" s="143">
        <f>(W467/12*2*$E467*$G467*((1-$L467)+$L467*$M467*$X$11*$H467))+(W467/12*10*$F467*$G467*((1-$L467)+$L467*$M467*$X$12*$H467))</f>
        <v>0</v>
      </c>
      <c r="Y467" s="123"/>
      <c r="Z467" s="143">
        <f>(Y467/12*2*$E467*$G467*((1-$L467)+$L467*$M467*$Z$11*$H467))+(Y467/12*10*$F467*$G467*((1-$L467)+$L467*$M467*$Z$12*$H467))</f>
        <v>0</v>
      </c>
      <c r="AA467" s="123"/>
      <c r="AB467" s="143">
        <f>(AA467/12*2*$E467*$G467*((1-$L467)+$L467*$M467*$AB$11*$H467))+(AA467/12*10*$F467*$G467*((1-$L467)+$L467*$M467*$AB$11*$H467))</f>
        <v>0</v>
      </c>
      <c r="AC467" s="123"/>
      <c r="AD467" s="123"/>
      <c r="AE467" s="123"/>
      <c r="AF467" s="143">
        <f>(AE467/12*2*$E467*$G467*((1-$L467)+$L467*$M467*AF$11*$H467))+(AE467/12*10*$F467*$G467*((1-$L467)+$L467*$M467*AF$11*$H467))</f>
        <v>0</v>
      </c>
      <c r="AG467" s="123">
        <v>0</v>
      </c>
      <c r="AH467" s="143">
        <f>(AG467/12*2*$E467*$G467*((1-$L467)+$L467*$H467*AH$11*$M467))+(AG467/12*10*$F467*$G467*((1-$L467)+$L467*$H467*AH$11*$M467))</f>
        <v>0</v>
      </c>
      <c r="AI467" s="123"/>
      <c r="AJ467" s="143">
        <f t="shared" ref="AJ467:AJ468" si="610">(AI467/12*2*$E467*$G467*((1-$L467)+$L467*$H467*AJ$11*$M467))+(AI467/12*5*$F467*$G467*((1-$L467)+$L467*$H467*AJ$12*$M467))+(AI467/12*5*$F467*$G467*((1-$L467)+$L467*$H467*AJ$13*$M467))</f>
        <v>0</v>
      </c>
      <c r="AK467" s="123"/>
      <c r="AL467" s="143">
        <f t="shared" ref="AL467:AL468" si="611">(AK467/12*2*$E467*$G467*((1-$L467)+$L467*$H467*AL$11*$N467))+(AK467/12*4*$F467*$G467*((1-$L467)+$L467*$H467*AL$12*$N467))+(AK467/12*6*$F467*$G467*((1-$L467)+$L467*$H467*AL$13*$N467))</f>
        <v>0</v>
      </c>
      <c r="AM467" s="132"/>
      <c r="AN467" s="143">
        <f>(AM467/12*2*$E467*$G467*((1-$L467)+$L467*$N467*$AN$11*H467))+(AM467/12*10*$F467*$G467*((1-$L467)+$L467*$N467*$AN$12*H467))</f>
        <v>0</v>
      </c>
      <c r="AO467" s="130"/>
      <c r="AP467" s="143">
        <f>(AO467/12*2*$E467*$G467*((1-$L467)+$L467*$H467*AP$11*$N467))+(AO467/12*10*$F467*$G467*((1-$L467)+$L467*$H467*AP$11*$N467))</f>
        <v>0</v>
      </c>
      <c r="AQ467" s="143">
        <v>0</v>
      </c>
      <c r="AR467" s="143">
        <v>0</v>
      </c>
      <c r="AS467" s="123"/>
      <c r="AT467" s="123"/>
      <c r="AU467" s="123"/>
      <c r="AV467" s="123"/>
      <c r="AW467" s="123"/>
      <c r="AX467" s="143">
        <f>(AW467/12*2*$E467*$G467*((1-$L467)+$L467*$H467*AX$11*$M467))+(AW467/12*10*$F467*$G467*((1-$L467)+$L467*$H467*AX$12*$M467))</f>
        <v>0</v>
      </c>
      <c r="AY467" s="123">
        <v>0</v>
      </c>
      <c r="AZ467" s="143">
        <f>(AY467/12*2*$E467*$G467*((1-$L467)+$L467*$N467*$H467*$AZ$11))+(AY467/12*10*$F467*$G467*((1-$L467)+$L467*$N467*$H467*$AZ$11))</f>
        <v>0</v>
      </c>
      <c r="BA467" s="123"/>
      <c r="BB467" s="143">
        <f>(BA467/12*2*$E467*$G467*((1-$L467)+$L467*$H467*BB$11*$N467))+(BA467/12*10*$F467*$G467*((1-$L467)+$L467*$H467*BB$12*$N467))</f>
        <v>0</v>
      </c>
      <c r="BC467" s="123"/>
      <c r="BD467" s="146">
        <f>(BC467/12*2*$E467*$G467*$H467*$N467*$BD$11)+(BC467/12*10*$F467*$G467*$H467*$N467*$BD$12)</f>
        <v>0</v>
      </c>
      <c r="BE467" s="123"/>
      <c r="BF467" s="143">
        <f>(BE467/12*2*$E467*$G467*((1-$L467)+$L467*$H467*BF$11*$N467))+(BE467/12*10*$F467*$G467*((1-$L467)+$L467*$H467*BF$12*$N467))</f>
        <v>0</v>
      </c>
      <c r="BG467" s="123"/>
      <c r="BH467" s="143">
        <f>(BG467/12*2*$E467*$G467*((1-$L467)+$L467*$H467*BH$11*$N467))+(BG467/12*10*$F467*$G467*((1-$L467)+$L467*$H467*BH$11*$N467))</f>
        <v>0</v>
      </c>
      <c r="BI467" s="123"/>
      <c r="BJ467" s="143">
        <f>(BI467/12*2*$E467*$G467*((1-$L467)+$L467*$H467*BJ$11*$N467))+(BI467/12*10*$F467*$G467*((1-$L467)+$L467*$H467*BJ$11*$N467))</f>
        <v>0</v>
      </c>
      <c r="BK467" s="123"/>
      <c r="BL467" s="143">
        <f>(BK467/12*2*$E467*$G467*((1-$L467)+$L467*$H467*BL$11*$N467))+(BK467/12*10*$F467*$G467*((1-$L467)+$L467*$H467*BL$11*$N467))</f>
        <v>0</v>
      </c>
      <c r="BM467" s="123"/>
      <c r="BN467" s="143">
        <f>(BM467/12*2*$E467*$G467*((1-$L467)+$L467*$H467*BN$11*$M467))+(BM467/12*10*$F467*$G467*((1-$L467)+$L467*$H467*BN$11*$M467))</f>
        <v>0</v>
      </c>
      <c r="BO467" s="123"/>
      <c r="BP467" s="143">
        <f>(BO467/12*2*$E467*$G467*((1-$L467)+$L467*$H467*BP$11*$M467))+(BO467/12*10*$F467*$G467*((1-$L467)+$L467*$H467*BP$12*$M467))</f>
        <v>0</v>
      </c>
      <c r="BQ467" s="123"/>
      <c r="BR467" s="123"/>
      <c r="BS467" s="123"/>
      <c r="BT467" s="143">
        <f>(BS467/12*2*$E467*$G467*((1-$L467)+$L467*$H467*BT$11*$N467))+(BS467/12*10*$F467*$G467*((1-$L467)+$L467*$H467*BT$11*$N467))</f>
        <v>0</v>
      </c>
      <c r="BU467" s="123"/>
      <c r="BV467" s="123"/>
      <c r="BW467" s="123"/>
      <c r="BX467" s="143">
        <f>(BW467/12*2*$E467*$G467*((1-$L467)+$L467*$H467*BX$11*$M467))+(BW467/12*10*$F467*$G467*((1-$L467)+$L467*$H467*BX$11*$M467))</f>
        <v>0</v>
      </c>
      <c r="BY467" s="123"/>
      <c r="BZ467" s="143">
        <f>(BY467/12*2*$E467*$G467*((1-$L467)+$L467*$H467*BZ$11*$M467))+(BY467/12*10*$F467*$G467*((1-$L467)+$L467*$H467*BZ$11*$M467))</f>
        <v>0</v>
      </c>
      <c r="CA467" s="123"/>
      <c r="CB467" s="143">
        <f>(CA467/12*2*$E467*$G467*((1-$L467)+$L467*$H467*CB$11*$M467))+(CA467/12*10*$F467*$G467*((1-$L467)+$L467*$H467*CB$11*$M467))</f>
        <v>0</v>
      </c>
      <c r="CC467" s="123"/>
      <c r="CD467" s="146">
        <f>(CC467/12*2*$E467*$G467*((1-$L467)+$L467*$M467*$CD$11*$H467))+(CC467/12*10*$F467*$G467*((1-$L467)+$L467*$M467*$CD$11*$H467))</f>
        <v>0</v>
      </c>
      <c r="CE467" s="123"/>
      <c r="CF467" s="143">
        <f>(CE467/12*10*$F467*$G467*((1-$L467)+$L467*$H467*CF$11*$N467))</f>
        <v>0</v>
      </c>
      <c r="CG467" s="132"/>
      <c r="CH467" s="143">
        <f>(CG467/12*2*$E467*$G467*((1-$L467)+$L467*$H467*CH$11*$N467))+(CG467/12*10*$F467*$G467*((1-$L467)+$L467*$H467*CH$11*$N467))</f>
        <v>0</v>
      </c>
      <c r="CI467" s="123"/>
      <c r="CJ467" s="127"/>
      <c r="CK467" s="123"/>
      <c r="CL467" s="123"/>
      <c r="CM467" s="130"/>
      <c r="CN467" s="143">
        <f>((CM467/12*2*$E467*$G467*((1-$L467)+$L467*$H467*CN$11*$N467)))+((CM467/12*10*$F467*$G467*((1-$L467)+$L467*$H467*CN$11*$N467)))</f>
        <v>0</v>
      </c>
      <c r="CO467" s="123"/>
      <c r="CP467" s="143">
        <f>(CO467/12*2*$E467*$G467*((1-$L467)+$L467*$H467*CP$11*$N467))+(CO467/12*10*$F467*$G467*((1-$L467)+$L467*$H467*CP$11*$N467))</f>
        <v>0</v>
      </c>
      <c r="CQ467" s="123"/>
      <c r="CR467" s="143">
        <f>(CQ467/12*2*$E467*$G467*((1-$L467)+$L467*$H467*CR$11*$O467))+(CQ467/12*10*$F467*$G467*((1-$L467)+$L467*$H467*CR$11*$O467))</f>
        <v>0</v>
      </c>
      <c r="CS467" s="123"/>
      <c r="CT467" s="143">
        <f>(CS467/12*2*$E467*$G467*((1-$L467)+$L467*$H467*CT$11*$P467))+(CS467/12*10*$F467*$G467*((1-$L467)+$L467*$H467*CT$11*$P467))</f>
        <v>0</v>
      </c>
      <c r="CU467" s="127"/>
      <c r="CV467" s="127"/>
      <c r="CW467" s="126">
        <f t="shared" ref="CW467:CX482" si="612">SUM(Q467,S467,U467,W467,Y467,AA467,AC467,AE467,AG467,AM467,BQ467,AI467,AU467,CC467,AW467,AY467,AK467,BC467,AO467,AQ467,BE467,CE467,BG467,BI467,BK467,BS467,BM467,BO467,BU467,BW467,BY467,CA467,CG467,BA467,AS467,CI467,CK467,CM467,CO467,CQ467,CS467,CU467)</f>
        <v>0</v>
      </c>
      <c r="CX467" s="126">
        <f t="shared" si="612"/>
        <v>0</v>
      </c>
    </row>
    <row r="468" spans="1:102" s="6" customFormat="1" ht="45" x14ac:dyDescent="0.25">
      <c r="A468" s="91"/>
      <c r="B468" s="116">
        <v>390</v>
      </c>
      <c r="C468" s="243" t="s">
        <v>1054</v>
      </c>
      <c r="D468" s="241" t="s">
        <v>1055</v>
      </c>
      <c r="E468" s="95">
        <v>28004</v>
      </c>
      <c r="F468" s="96">
        <v>29405</v>
      </c>
      <c r="G468" s="156">
        <v>3.24</v>
      </c>
      <c r="H468" s="107">
        <v>1</v>
      </c>
      <c r="I468" s="108"/>
      <c r="J468" s="108"/>
      <c r="K468" s="108"/>
      <c r="L468" s="142">
        <v>4.58E-2</v>
      </c>
      <c r="M468" s="120">
        <v>1.4</v>
      </c>
      <c r="N468" s="120">
        <v>1.68</v>
      </c>
      <c r="O468" s="120">
        <v>2.23</v>
      </c>
      <c r="P468" s="121">
        <v>2.57</v>
      </c>
      <c r="Q468" s="286">
        <v>0</v>
      </c>
      <c r="R468" s="143">
        <f>(Q468/12*2*$E468*$G468*((1-$L468)+$L468*$M468*$R$11*$H468))+(Q468/12*10*$F468*$G468*((1-$L468)+$L468*$M468*$R$11*$H468))</f>
        <v>0</v>
      </c>
      <c r="S468" s="157"/>
      <c r="T468" s="144">
        <f>(S468/12*2*$E468*$G468*((1-$L468)+$L468*$M468*$R$11*$H468))+(S468/12*10*$F468*$G468*((1-$L468)+$L468*$M468*$R$11*$H468))</f>
        <v>0</v>
      </c>
      <c r="U468" s="143"/>
      <c r="V468" s="143">
        <f>(U468/12*2*$E468*$G468*((1-$L468)+$L468*$M468*V$11*$H468))+(U468/12*10*$F468*$G468*((1-$L468)+$L468*$M468*V$12*$H468))</f>
        <v>0</v>
      </c>
      <c r="W468" s="123"/>
      <c r="X468" s="143">
        <f>(W468/12*2*$E468*$G468*((1-$L468)+$L468*$M468*$X$11*$H468))+(W468/12*10*$F468*$G468*((1-$L468)+$L468*$M468*$X$12*$H468))</f>
        <v>0</v>
      </c>
      <c r="Y468" s="123"/>
      <c r="Z468" s="143">
        <f>(Y468/12*2*$E468*$G468*((1-$L468)+$L468*$M468*$Z$11*$H468))+(Y468/12*10*$F468*$G468*((1-$L468)+$L468*$M468*$Z$12*$H468))</f>
        <v>0</v>
      </c>
      <c r="AA468" s="123"/>
      <c r="AB468" s="143">
        <f>(AA468/12*2*$E468*$G468*((1-$L468)+$L468*$M468*$AB$11*$H468))+(AA468/12*10*$F468*$G468*((1-$L468)+$L468*$M468*$AB$11*$H468))</f>
        <v>0</v>
      </c>
      <c r="AC468" s="123"/>
      <c r="AD468" s="123"/>
      <c r="AE468" s="123"/>
      <c r="AF468" s="143">
        <f>(AE468/12*2*$E468*$G468*((1-$L468)+$L468*$M468*AF$11*$H468))+(AE468/12*10*$F468*$G468*((1-$L468)+$L468*$M468*AF$11*$H468))</f>
        <v>0</v>
      </c>
      <c r="AG468" s="123">
        <v>0</v>
      </c>
      <c r="AH468" s="143">
        <f>(AG468/12*2*$E468*$G468*((1-$L468)+$L468*$H468*AH$11*$M468))+(AG468/12*10*$F468*$G468*((1-$L468)+$L468*$H468*AH$11*$M468))</f>
        <v>0</v>
      </c>
      <c r="AI468" s="123"/>
      <c r="AJ468" s="143">
        <f t="shared" si="610"/>
        <v>0</v>
      </c>
      <c r="AK468" s="123"/>
      <c r="AL468" s="143">
        <f t="shared" si="611"/>
        <v>0</v>
      </c>
      <c r="AM468" s="132"/>
      <c r="AN468" s="143">
        <f>(AM468/12*2*$E468*$G468*((1-$L468)+$L468*$N468*$AN$11*H468))+(AM468/12*10*$F468*$G468*((1-$L468)+$L468*$N468*$AN$12*H468))</f>
        <v>0</v>
      </c>
      <c r="AO468" s="130"/>
      <c r="AP468" s="143">
        <f>(AO468/12*2*$E468*$G468*((1-$L468)+$L468*$H468*AP$11*$N468))+(AO468/12*10*$F468*$G468*((1-$L468)+$L468*$H468*AP$11*$N468))</f>
        <v>0</v>
      </c>
      <c r="AQ468" s="143">
        <v>0</v>
      </c>
      <c r="AR468" s="143">
        <v>0</v>
      </c>
      <c r="AS468" s="123"/>
      <c r="AT468" s="123"/>
      <c r="AU468" s="123"/>
      <c r="AV468" s="123"/>
      <c r="AW468" s="123"/>
      <c r="AX468" s="143">
        <f>(AW468/12*2*$E468*$G468*((1-$L468)+$L468*$H468*AX$11*$M468))+(AW468/12*10*$F468*$G468*((1-$L468)+$L468*$H468*AX$12*$M468))</f>
        <v>0</v>
      </c>
      <c r="AY468" s="123">
        <v>0</v>
      </c>
      <c r="AZ468" s="143">
        <f>(AY468/12*2*$E468*$G468*((1-$L468)+$L468*$N468*$H468*$AZ$11))+(AY468/12*10*$F468*$G468*((1-$L468)+$L468*$N468*$H468*$AZ$11))</f>
        <v>0</v>
      </c>
      <c r="BA468" s="123"/>
      <c r="BB468" s="143">
        <f>(BA468/12*2*$E468*$G468*((1-$L468)+$L468*$H468*BB$11*$N468))+(BA468/12*10*$F468*$G468*((1-$L468)+$L468*$H468*BB$12*$N468))</f>
        <v>0</v>
      </c>
      <c r="BC468" s="123"/>
      <c r="BD468" s="146">
        <f>(BC468/12*2*$E468*$G468*$H468*$N468*$BD$11)+(BC468/12*10*$F468*$G468*$H468*$N468*$BD$12)</f>
        <v>0</v>
      </c>
      <c r="BE468" s="123"/>
      <c r="BF468" s="143">
        <f>(BE468/12*2*$E468*$G468*((1-$L468)+$L468*$H468*BF$11*$N468))+(BE468/12*10*$F468*$G468*((1-$L468)+$L468*$H468*BF$12*$N468))</f>
        <v>0</v>
      </c>
      <c r="BG468" s="123"/>
      <c r="BH468" s="143">
        <f>(BG468/12*2*$E468*$G468*((1-$L468)+$L468*$H468*BH$11*$N468))+(BG468/12*10*$F468*$G468*((1-$L468)+$L468*$H468*BH$11*$N468))</f>
        <v>0</v>
      </c>
      <c r="BI468" s="123"/>
      <c r="BJ468" s="143">
        <f>(BI468/12*2*$E468*$G468*((1-$L468)+$L468*$H468*BJ$11*$N468))+(BI468/12*10*$F468*$G468*((1-$L468)+$L468*$H468*BJ$11*$N468))</f>
        <v>0</v>
      </c>
      <c r="BK468" s="123"/>
      <c r="BL468" s="143">
        <f>(BK468/12*2*$E468*$G468*((1-$L468)+$L468*$H468*BL$11*$N468))+(BK468/12*10*$F468*$G468*((1-$L468)+$L468*$H468*BL$11*$N468))</f>
        <v>0</v>
      </c>
      <c r="BM468" s="123"/>
      <c r="BN468" s="143">
        <f>(BM468/12*2*$E468*$G468*((1-$L468)+$L468*$H468*BN$11*$M468))+(BM468/12*10*$F468*$G468*((1-$L468)+$L468*$H468*BN$11*$M468))</f>
        <v>0</v>
      </c>
      <c r="BO468" s="123"/>
      <c r="BP468" s="143">
        <f>(BO468/12*2*$E468*$G468*((1-$L468)+$L468*$H468*BP$11*$M468))+(BO468/12*10*$F468*$G468*((1-$L468)+$L468*$H468*BP$12*$M468))</f>
        <v>0</v>
      </c>
      <c r="BQ468" s="123"/>
      <c r="BR468" s="123"/>
      <c r="BS468" s="123"/>
      <c r="BT468" s="143">
        <f>(BS468/12*2*$E468*$G468*((1-$L468)+$L468*$H468*BT$11*$N468))+(BS468/12*10*$F468*$G468*((1-$L468)+$L468*$H468*BT$11*$N468))</f>
        <v>0</v>
      </c>
      <c r="BU468" s="123"/>
      <c r="BV468" s="123"/>
      <c r="BW468" s="123"/>
      <c r="BX468" s="143">
        <f>(BW468/12*2*$E468*$G468*((1-$L468)+$L468*$H468*BX$11*$M468))+(BW468/12*10*$F468*$G468*((1-$L468)+$L468*$H468*BX$11*$M468))</f>
        <v>0</v>
      </c>
      <c r="BY468" s="123"/>
      <c r="BZ468" s="143">
        <f>(BY468/12*2*$E468*$G468*((1-$L468)+$L468*$H468*BZ$11*$M468))+(BY468/12*10*$F468*$G468*((1-$L468)+$L468*$H468*BZ$11*$M468))</f>
        <v>0</v>
      </c>
      <c r="CA468" s="123"/>
      <c r="CB468" s="143">
        <f>(CA468/12*2*$E468*$G468*((1-$L468)+$L468*$H468*CB$11*$M468))+(CA468/12*10*$F468*$G468*((1-$L468)+$L468*$H468*CB$11*$M468))</f>
        <v>0</v>
      </c>
      <c r="CC468" s="123"/>
      <c r="CD468" s="146">
        <f>(CC468/12*2*$E468*$G468*((1-$L468)+$L468*$M468*$CD$11*$H468))+(CC468/12*10*$F468*$G468*((1-$L468)+$L468*$M468*$CD$11*$H468))</f>
        <v>0</v>
      </c>
      <c r="CE468" s="123"/>
      <c r="CF468" s="143">
        <f>(CE468/12*10*$F468*$G468*((1-$L468)+$L468*$H468*CF$11*$N468))</f>
        <v>0</v>
      </c>
      <c r="CG468" s="132"/>
      <c r="CH468" s="143">
        <f>(CG468/12*2*$E468*$G468*((1-$L468)+$L468*$H468*CH$11*$N468))+(CG468/12*10*$F468*$G468*((1-$L468)+$L468*$H468*CH$11*$N468))</f>
        <v>0</v>
      </c>
      <c r="CI468" s="123"/>
      <c r="CJ468" s="127"/>
      <c r="CK468" s="123"/>
      <c r="CL468" s="123"/>
      <c r="CM468" s="130"/>
      <c r="CN468" s="143">
        <f>((CM468/12*2*$E468*$G468*((1-$L468)+$L468*$H468*CN$11*$N468)))+((CM468/12*10*$F468*$G468*((1-$L468)+$L468*$H468*CN$11*$N468)))</f>
        <v>0</v>
      </c>
      <c r="CO468" s="123"/>
      <c r="CP468" s="143">
        <f>(CO468/12*2*$E468*$G468*((1-$L468)+$L468*$H468*CP$11*$N468))+(CO468/12*10*$F468*$G468*((1-$L468)+$L468*$H468*CP$11*$N468))</f>
        <v>0</v>
      </c>
      <c r="CQ468" s="123"/>
      <c r="CR468" s="143">
        <f>(CQ468/12*2*$E468*$G468*((1-$L468)+$L468*$H468*CR$11*$O468))+(CQ468/12*10*$F468*$G468*((1-$L468)+$L468*$H468*CR$11*$O468))</f>
        <v>0</v>
      </c>
      <c r="CS468" s="123"/>
      <c r="CT468" s="143">
        <f>(CS468/12*2*$E468*$G468*((1-$L468)+$L468*$H468*CT$11*$P468))+(CS468/12*10*$F468*$G468*((1-$L468)+$L468*$H468*CT$11*$P468))</f>
        <v>0</v>
      </c>
      <c r="CU468" s="127"/>
      <c r="CV468" s="127"/>
      <c r="CW468" s="126">
        <f t="shared" si="612"/>
        <v>0</v>
      </c>
      <c r="CX468" s="126">
        <f t="shared" si="612"/>
        <v>0</v>
      </c>
    </row>
    <row r="469" spans="1:102" s="6" customFormat="1" ht="60" x14ac:dyDescent="0.25">
      <c r="A469" s="91"/>
      <c r="B469" s="116">
        <v>391</v>
      </c>
      <c r="C469" s="243" t="s">
        <v>1056</v>
      </c>
      <c r="D469" s="241" t="s">
        <v>1057</v>
      </c>
      <c r="E469" s="95">
        <v>28004</v>
      </c>
      <c r="F469" s="96">
        <v>29405</v>
      </c>
      <c r="G469" s="156">
        <v>3.25</v>
      </c>
      <c r="H469" s="107">
        <v>1</v>
      </c>
      <c r="I469" s="108"/>
      <c r="J469" s="108"/>
      <c r="K469" s="108"/>
      <c r="L469" s="142">
        <v>0.34499999999999997</v>
      </c>
      <c r="M469" s="120">
        <v>1.4</v>
      </c>
      <c r="N469" s="120">
        <v>1.68</v>
      </c>
      <c r="O469" s="120">
        <v>2.23</v>
      </c>
      <c r="P469" s="121">
        <v>2.57</v>
      </c>
      <c r="Q469" s="286">
        <v>0</v>
      </c>
      <c r="R469" s="143">
        <f t="shared" ref="R469:R489" si="613">(Q469/12*2*$E469*$G469*((1-$L469)+$L469*$M469*H469))+(Q469/12*10*$F469*$G469*((1-$L469)+$L469*$M469*H469))</f>
        <v>0</v>
      </c>
      <c r="S469" s="157"/>
      <c r="T469" s="144"/>
      <c r="U469" s="143"/>
      <c r="V469" s="143">
        <f t="shared" ref="V469:V489" si="614">(U469/12*2*$E469*$G469*((1-$L469)+$L469*$M469*$H469))+(U469/12*10*$F469*$G469*((1-$L469)+$L469*$M469*$H469))</f>
        <v>0</v>
      </c>
      <c r="W469" s="123"/>
      <c r="X469" s="143">
        <f t="shared" ref="X469:X489" si="615">(W469/12*2*$E469*$G469*((1-$L469)+$L469*$M469*$H469))+(W469/12*10*$F469*$G469*((1-$L469)+$L469*$M469*$H469))</f>
        <v>0</v>
      </c>
      <c r="Y469" s="123"/>
      <c r="Z469" s="143">
        <f t="shared" ref="Z469:Z489" si="616">(Y469/12*2*$E469*$G469*((1-$L469)+$L469*$M469*$H469))+(Y469/12*10*$F469*$G469*((1-$L469)+$L469*$M469*$H469))</f>
        <v>0</v>
      </c>
      <c r="AA469" s="123"/>
      <c r="AB469" s="143">
        <f t="shared" ref="AB469:AB489" si="617">(AA469/12*2*$E469*$G469*((1-$L469)+$L469*$M469*$H469))+(AA469/12*10*$F469*$G469*((1-$L469)+$L469*$M469*$H469))</f>
        <v>0</v>
      </c>
      <c r="AC469" s="123"/>
      <c r="AD469" s="123"/>
      <c r="AE469" s="123"/>
      <c r="AF469" s="143">
        <f t="shared" ref="AF469:AF489" si="618">(AE469/12*2*$E469*$G469*((1-$L469)+$L469*$M469*$H469))+(AE469/12*10*$F469*$G469*((1-$L469)+$L469*$M469*$H469))</f>
        <v>0</v>
      </c>
      <c r="AG469" s="123">
        <v>0</v>
      </c>
      <c r="AH469" s="143">
        <f t="shared" ref="AH469:AH489" si="619">(AG469/12*2*$E469*$G469*((1-$L469)+$L469*$M469*$H469))+(AG469/12*10*$F469*$G469*((1-$L469)+$L469*$M469*$H469))</f>
        <v>0</v>
      </c>
      <c r="AI469" s="123"/>
      <c r="AJ469" s="143">
        <f t="shared" ref="AJ469:AJ489" si="620">(AI469/12*2*$E469*$G469*((1-$L469)+$L469*$M469*$H469))+(AI469/12*10*$F469*$G469*((1-$L469)+$L469*$M469*$H469))</f>
        <v>0</v>
      </c>
      <c r="AK469" s="123"/>
      <c r="AL469" s="143">
        <f>(AK469/12*2*$E469*$G469*((1-$L469)+$L469*$N469*$H469))+(AK469/12*10*$F469*$G469*((1-$L469)+$L469*$N469*$H469))</f>
        <v>0</v>
      </c>
      <c r="AM469" s="132"/>
      <c r="AN469" s="143">
        <f t="shared" ref="AN469:AN489" si="621">(AM469/12*2*$E469*$G469*((1-$L469)+$L469*$N469*$H469))+(AM469/12*10*$F469*$G469*((1-$L469)+$L469*$N469*$H469))</f>
        <v>0</v>
      </c>
      <c r="AO469" s="130"/>
      <c r="AP469" s="143">
        <f t="shared" ref="AP469:AP489" si="622">(AO469/12*2*$E469*$G469*((1-$L469)+$L469*$N469*$H469))+(AO469/12*10*$F469*$G469*((1-$L469)+$L469*$N469*$H469))</f>
        <v>0</v>
      </c>
      <c r="AQ469" s="143">
        <v>0</v>
      </c>
      <c r="AR469" s="143">
        <v>0</v>
      </c>
      <c r="AS469" s="123"/>
      <c r="AT469" s="123"/>
      <c r="AU469" s="123"/>
      <c r="AV469" s="123"/>
      <c r="AW469" s="123"/>
      <c r="AX469" s="123"/>
      <c r="AY469" s="123">
        <v>0</v>
      </c>
      <c r="AZ469" s="143"/>
      <c r="BA469" s="123"/>
      <c r="BB469" s="123"/>
      <c r="BC469" s="123"/>
      <c r="BD469" s="123"/>
      <c r="BE469" s="123"/>
      <c r="BF469" s="123">
        <f t="shared" ref="BF469:BF489" si="623">(BE469/12*10*$F469*$G469*$H469*$N469)</f>
        <v>0</v>
      </c>
      <c r="BG469" s="123"/>
      <c r="BH469" s="123"/>
      <c r="BI469" s="123"/>
      <c r="BJ469" s="123"/>
      <c r="BK469" s="123"/>
      <c r="BL469" s="127"/>
      <c r="BM469" s="123"/>
      <c r="BN469" s="143">
        <f t="shared" ref="BN469:BN489" si="624">(BM469/12*2*$E469*$G469*((1-$L469)+$L469*$H469*$M469))+(BM469/12*10*$F469*$G469*((1-$L469)+$L469*$H469*$M469))</f>
        <v>0</v>
      </c>
      <c r="BO469" s="123"/>
      <c r="BP469" s="143">
        <f t="shared" ref="BP469:BP489" si="625">(BO469/12*2*$E469*$G469*((1-$L469)+$L469*$H469*$M469))+(BO469/12*10*$F469*$G469*((1-$L469)+$L469*$H469*$M469))</f>
        <v>0</v>
      </c>
      <c r="BQ469" s="123"/>
      <c r="BR469" s="123"/>
      <c r="BS469" s="123"/>
      <c r="BT469" s="123"/>
      <c r="BU469" s="123"/>
      <c r="BV469" s="123"/>
      <c r="BW469" s="123"/>
      <c r="BX469" s="123"/>
      <c r="BY469" s="123"/>
      <c r="BZ469" s="123"/>
      <c r="CA469" s="123"/>
      <c r="CB469" s="123"/>
      <c r="CC469" s="123"/>
      <c r="CD469" s="123"/>
      <c r="CE469" s="123"/>
      <c r="CF469" s="123"/>
      <c r="CG469" s="132"/>
      <c r="CH469" s="143"/>
      <c r="CI469" s="123"/>
      <c r="CJ469" s="127"/>
      <c r="CK469" s="123"/>
      <c r="CL469" s="123"/>
      <c r="CM469" s="130"/>
      <c r="CN469" s="123"/>
      <c r="CO469" s="123"/>
      <c r="CP469" s="123"/>
      <c r="CQ469" s="123"/>
      <c r="CR469" s="123"/>
      <c r="CS469" s="123"/>
      <c r="CT469" s="143"/>
      <c r="CU469" s="127"/>
      <c r="CV469" s="127"/>
      <c r="CW469" s="126">
        <f t="shared" si="612"/>
        <v>0</v>
      </c>
      <c r="CX469" s="126">
        <f t="shared" si="612"/>
        <v>0</v>
      </c>
    </row>
    <row r="470" spans="1:102" s="6" customFormat="1" ht="60" x14ac:dyDescent="0.25">
      <c r="A470" s="91"/>
      <c r="B470" s="116">
        <v>392</v>
      </c>
      <c r="C470" s="117" t="s">
        <v>1058</v>
      </c>
      <c r="D470" s="148" t="s">
        <v>1059</v>
      </c>
      <c r="E470" s="95">
        <v>28004</v>
      </c>
      <c r="F470" s="96">
        <v>29405</v>
      </c>
      <c r="G470" s="149">
        <v>0.43</v>
      </c>
      <c r="H470" s="107">
        <v>1</v>
      </c>
      <c r="I470" s="108"/>
      <c r="J470" s="108"/>
      <c r="K470" s="108"/>
      <c r="L470" s="163">
        <v>0.54579999999999995</v>
      </c>
      <c r="M470" s="120">
        <v>1.4</v>
      </c>
      <c r="N470" s="120">
        <v>1.68</v>
      </c>
      <c r="O470" s="120">
        <v>2.23</v>
      </c>
      <c r="P470" s="121">
        <v>2.57</v>
      </c>
      <c r="Q470" s="286">
        <v>0</v>
      </c>
      <c r="R470" s="143">
        <f t="shared" si="613"/>
        <v>0</v>
      </c>
      <c r="S470" s="157"/>
      <c r="T470" s="144"/>
      <c r="U470" s="123">
        <v>0</v>
      </c>
      <c r="V470" s="143">
        <f>(U470/12*2*$E470*$G470*((1-$L470)+$L470*$M470*$H470))+(U470/12*10*$F470*$G470*((1-$L470)+$L470*$M470*$H470))</f>
        <v>0</v>
      </c>
      <c r="W470" s="123"/>
      <c r="X470" s="143">
        <f t="shared" si="615"/>
        <v>0</v>
      </c>
      <c r="Y470" s="123"/>
      <c r="Z470" s="143">
        <f t="shared" si="616"/>
        <v>0</v>
      </c>
      <c r="AA470" s="143"/>
      <c r="AB470" s="143">
        <f t="shared" si="617"/>
        <v>0</v>
      </c>
      <c r="AC470" s="123"/>
      <c r="AD470" s="123"/>
      <c r="AE470" s="123"/>
      <c r="AF470" s="143">
        <f t="shared" si="618"/>
        <v>0</v>
      </c>
      <c r="AG470" s="123">
        <v>0</v>
      </c>
      <c r="AH470" s="143">
        <f t="shared" si="619"/>
        <v>0</v>
      </c>
      <c r="AI470" s="123"/>
      <c r="AJ470" s="143">
        <f t="shared" si="620"/>
        <v>0</v>
      </c>
      <c r="AK470" s="123"/>
      <c r="AL470" s="143">
        <f t="shared" ref="AL470:AL489" si="626">(AK470/12*2*$E470*$G470*((1-$L470)+$L470*$N470*$H470))+(AK470/12*10*$F470*$G470*((1-$L470)+$L470*$N470*$H470))</f>
        <v>0</v>
      </c>
      <c r="AM470" s="132"/>
      <c r="AN470" s="143">
        <f t="shared" si="621"/>
        <v>0</v>
      </c>
      <c r="AO470" s="130"/>
      <c r="AP470" s="143">
        <f t="shared" si="622"/>
        <v>0</v>
      </c>
      <c r="AQ470" s="143">
        <v>0</v>
      </c>
      <c r="AR470" s="143">
        <v>0</v>
      </c>
      <c r="AS470" s="123"/>
      <c r="AT470" s="123"/>
      <c r="AU470" s="123"/>
      <c r="AV470" s="123"/>
      <c r="AW470" s="123"/>
      <c r="AX470" s="123"/>
      <c r="AY470" s="123">
        <v>0</v>
      </c>
      <c r="AZ470" s="143"/>
      <c r="BA470" s="123"/>
      <c r="BB470" s="123"/>
      <c r="BC470" s="123"/>
      <c r="BD470" s="123"/>
      <c r="BE470" s="123"/>
      <c r="BF470" s="123">
        <f t="shared" si="623"/>
        <v>0</v>
      </c>
      <c r="BG470" s="123"/>
      <c r="BH470" s="123"/>
      <c r="BI470" s="123"/>
      <c r="BJ470" s="123"/>
      <c r="BK470" s="123"/>
      <c r="BL470" s="127"/>
      <c r="BM470" s="123"/>
      <c r="BN470" s="143">
        <f t="shared" si="624"/>
        <v>0</v>
      </c>
      <c r="BO470" s="123"/>
      <c r="BP470" s="143">
        <f>(BO470/12*2*$E470*$G470*((1-$L470)+$L470*$H470*$M470))+(BO470/12*10*$F470*$G470*((1-$L470)+$L470*$H470*$M470))</f>
        <v>0</v>
      </c>
      <c r="BQ470" s="123"/>
      <c r="BR470" s="123"/>
      <c r="BS470" s="123"/>
      <c r="BT470" s="123"/>
      <c r="BU470" s="123"/>
      <c r="BV470" s="123"/>
      <c r="BW470" s="123"/>
      <c r="BX470" s="123"/>
      <c r="BY470" s="123"/>
      <c r="BZ470" s="123"/>
      <c r="CA470" s="123"/>
      <c r="CB470" s="143"/>
      <c r="CC470" s="123"/>
      <c r="CD470" s="123"/>
      <c r="CE470" s="123"/>
      <c r="CF470" s="123"/>
      <c r="CG470" s="132"/>
      <c r="CH470" s="143">
        <f>(CG470/12*2*$E470*$G470*((1-$L470)+$L470*$N470*$H470))+(CG470/12*10*$F470*$G470*((1-$L470)+$L470*$N470*$H470))</f>
        <v>0</v>
      </c>
      <c r="CI470" s="123"/>
      <c r="CJ470" s="127"/>
      <c r="CK470" s="123"/>
      <c r="CL470" s="123"/>
      <c r="CM470" s="130"/>
      <c r="CN470" s="123"/>
      <c r="CO470" s="123"/>
      <c r="CP470" s="123"/>
      <c r="CQ470" s="123"/>
      <c r="CR470" s="123"/>
      <c r="CS470" s="123"/>
      <c r="CT470" s="143">
        <f>(CS470/12*2*$E470*$G470*((1-$L470)+$L470*$H470*$P470))+(CS470/12*10*$F470*$G470*((1-$L470)+$L470*$H470*$P470))</f>
        <v>0</v>
      </c>
      <c r="CU470" s="127"/>
      <c r="CV470" s="127"/>
      <c r="CW470" s="126">
        <f t="shared" si="612"/>
        <v>0</v>
      </c>
      <c r="CX470" s="126">
        <f t="shared" si="612"/>
        <v>0</v>
      </c>
    </row>
    <row r="471" spans="1:102" s="6" customFormat="1" ht="60" x14ac:dyDescent="0.25">
      <c r="A471" s="91"/>
      <c r="B471" s="116">
        <v>393</v>
      </c>
      <c r="C471" s="117" t="s">
        <v>1060</v>
      </c>
      <c r="D471" s="148" t="s">
        <v>1061</v>
      </c>
      <c r="E471" s="95">
        <v>28004</v>
      </c>
      <c r="F471" s="96">
        <v>29405</v>
      </c>
      <c r="G471" s="149">
        <v>0.56000000000000005</v>
      </c>
      <c r="H471" s="107">
        <v>1</v>
      </c>
      <c r="I471" s="108"/>
      <c r="J471" s="108"/>
      <c r="K471" s="108"/>
      <c r="L471" s="163">
        <v>0.41920000000000002</v>
      </c>
      <c r="M471" s="120">
        <v>1.4</v>
      </c>
      <c r="N471" s="120">
        <v>1.68</v>
      </c>
      <c r="O471" s="120">
        <v>2.23</v>
      </c>
      <c r="P471" s="121">
        <v>2.57</v>
      </c>
      <c r="Q471" s="286">
        <v>0</v>
      </c>
      <c r="R471" s="143">
        <f t="shared" si="613"/>
        <v>0</v>
      </c>
      <c r="S471" s="157"/>
      <c r="T471" s="144"/>
      <c r="U471" s="123">
        <v>0</v>
      </c>
      <c r="V471" s="143">
        <f t="shared" si="614"/>
        <v>0</v>
      </c>
      <c r="W471" s="123"/>
      <c r="X471" s="143">
        <f t="shared" si="615"/>
        <v>0</v>
      </c>
      <c r="Y471" s="123"/>
      <c r="Z471" s="143">
        <f t="shared" si="616"/>
        <v>0</v>
      </c>
      <c r="AA471" s="143"/>
      <c r="AB471" s="143">
        <f t="shared" si="617"/>
        <v>0</v>
      </c>
      <c r="AC471" s="123"/>
      <c r="AD471" s="123"/>
      <c r="AE471" s="123"/>
      <c r="AF471" s="143">
        <f t="shared" si="618"/>
        <v>0</v>
      </c>
      <c r="AG471" s="123">
        <v>0</v>
      </c>
      <c r="AH471" s="143">
        <f t="shared" si="619"/>
        <v>0</v>
      </c>
      <c r="AI471" s="123"/>
      <c r="AJ471" s="143">
        <f t="shared" si="620"/>
        <v>0</v>
      </c>
      <c r="AK471" s="123"/>
      <c r="AL471" s="143">
        <f t="shared" si="626"/>
        <v>0</v>
      </c>
      <c r="AM471" s="132"/>
      <c r="AN471" s="143">
        <f t="shared" si="621"/>
        <v>0</v>
      </c>
      <c r="AO471" s="130"/>
      <c r="AP471" s="143">
        <f t="shared" si="622"/>
        <v>0</v>
      </c>
      <c r="AQ471" s="143">
        <v>0</v>
      </c>
      <c r="AR471" s="143">
        <v>0</v>
      </c>
      <c r="AS471" s="123"/>
      <c r="AT471" s="123"/>
      <c r="AU471" s="123"/>
      <c r="AV471" s="123"/>
      <c r="AW471" s="123"/>
      <c r="AX471" s="123"/>
      <c r="AY471" s="123">
        <v>0</v>
      </c>
      <c r="AZ471" s="143"/>
      <c r="BA471" s="123"/>
      <c r="BB471" s="123"/>
      <c r="BC471" s="123"/>
      <c r="BD471" s="123"/>
      <c r="BE471" s="123"/>
      <c r="BF471" s="123">
        <f t="shared" si="623"/>
        <v>0</v>
      </c>
      <c r="BG471" s="123"/>
      <c r="BH471" s="123"/>
      <c r="BI471" s="123"/>
      <c r="BJ471" s="123"/>
      <c r="BK471" s="123"/>
      <c r="BL471" s="127"/>
      <c r="BM471" s="123"/>
      <c r="BN471" s="143">
        <f>(BM471/12*2*$E471*$G471*((1-$L471)+$L471*$H471*$M471))+(BM471/12*10*$F471*$G471*((1-$L471)+$L471*$H471*$M471))</f>
        <v>0</v>
      </c>
      <c r="BO471" s="123"/>
      <c r="BP471" s="143">
        <f t="shared" si="625"/>
        <v>0</v>
      </c>
      <c r="BQ471" s="123"/>
      <c r="BR471" s="123"/>
      <c r="BS471" s="123"/>
      <c r="BT471" s="123"/>
      <c r="BU471" s="123"/>
      <c r="BV471" s="123"/>
      <c r="BW471" s="123"/>
      <c r="BX471" s="123"/>
      <c r="BY471" s="123"/>
      <c r="BZ471" s="123"/>
      <c r="CA471" s="123"/>
      <c r="CB471" s="143"/>
      <c r="CC471" s="123"/>
      <c r="CD471" s="123"/>
      <c r="CE471" s="123"/>
      <c r="CF471" s="123"/>
      <c r="CG471" s="132"/>
      <c r="CH471" s="143">
        <f t="shared" ref="CH471:CH489" si="627">(CG471/12*2*$E471*$G471*((1-$L471)+$L471*$N471*$H471))+(CG471/12*10*$F471*$G471*((1-$L471)+$L471*$N471*$H471))</f>
        <v>0</v>
      </c>
      <c r="CI471" s="123"/>
      <c r="CJ471" s="127"/>
      <c r="CK471" s="123"/>
      <c r="CL471" s="123"/>
      <c r="CM471" s="130"/>
      <c r="CN471" s="123"/>
      <c r="CO471" s="123"/>
      <c r="CP471" s="123"/>
      <c r="CQ471" s="123"/>
      <c r="CR471" s="123"/>
      <c r="CS471" s="123"/>
      <c r="CT471" s="143">
        <f t="shared" ref="CT471:CT489" si="628">(CS471/12*2*$E471*$G471*((1-$L471)+$L471*$H471*$P471))+(CS471/12*10*$F471*$G471*((1-$L471)+$L471*$H471*$P471))</f>
        <v>0</v>
      </c>
      <c r="CU471" s="127"/>
      <c r="CV471" s="127"/>
      <c r="CW471" s="126">
        <f t="shared" si="612"/>
        <v>0</v>
      </c>
      <c r="CX471" s="126">
        <f t="shared" si="612"/>
        <v>0</v>
      </c>
    </row>
    <row r="472" spans="1:102" s="6" customFormat="1" ht="60" x14ac:dyDescent="0.25">
      <c r="A472" s="91"/>
      <c r="B472" s="116">
        <v>394</v>
      </c>
      <c r="C472" s="117" t="s">
        <v>1062</v>
      </c>
      <c r="D472" s="148" t="s">
        <v>1063</v>
      </c>
      <c r="E472" s="95">
        <v>28004</v>
      </c>
      <c r="F472" s="96">
        <v>29405</v>
      </c>
      <c r="G472" s="149">
        <v>0.69</v>
      </c>
      <c r="H472" s="107">
        <v>1</v>
      </c>
      <c r="I472" s="108"/>
      <c r="J472" s="108"/>
      <c r="K472" s="108"/>
      <c r="L472" s="163">
        <v>0.34060000000000001</v>
      </c>
      <c r="M472" s="120">
        <v>1.4</v>
      </c>
      <c r="N472" s="120">
        <v>1.68</v>
      </c>
      <c r="O472" s="120">
        <v>2.23</v>
      </c>
      <c r="P472" s="121">
        <v>2.57</v>
      </c>
      <c r="Q472" s="286">
        <v>0</v>
      </c>
      <c r="R472" s="143">
        <f t="shared" si="613"/>
        <v>0</v>
      </c>
      <c r="S472" s="157"/>
      <c r="T472" s="144"/>
      <c r="U472" s="123">
        <v>0</v>
      </c>
      <c r="V472" s="143">
        <f t="shared" si="614"/>
        <v>0</v>
      </c>
      <c r="W472" s="123"/>
      <c r="X472" s="143">
        <f t="shared" si="615"/>
        <v>0</v>
      </c>
      <c r="Y472" s="123"/>
      <c r="Z472" s="143">
        <f t="shared" si="616"/>
        <v>0</v>
      </c>
      <c r="AA472" s="143"/>
      <c r="AB472" s="143">
        <f t="shared" si="617"/>
        <v>0</v>
      </c>
      <c r="AC472" s="123"/>
      <c r="AD472" s="123"/>
      <c r="AE472" s="123"/>
      <c r="AF472" s="143">
        <f t="shared" si="618"/>
        <v>0</v>
      </c>
      <c r="AG472" s="123">
        <v>0</v>
      </c>
      <c r="AH472" s="143">
        <f t="shared" si="619"/>
        <v>0</v>
      </c>
      <c r="AI472" s="123"/>
      <c r="AJ472" s="143">
        <f t="shared" si="620"/>
        <v>0</v>
      </c>
      <c r="AK472" s="123"/>
      <c r="AL472" s="143">
        <f t="shared" si="626"/>
        <v>0</v>
      </c>
      <c r="AM472" s="132"/>
      <c r="AN472" s="143">
        <f t="shared" si="621"/>
        <v>0</v>
      </c>
      <c r="AO472" s="130"/>
      <c r="AP472" s="143">
        <f t="shared" si="622"/>
        <v>0</v>
      </c>
      <c r="AQ472" s="143">
        <v>0</v>
      </c>
      <c r="AR472" s="143">
        <v>0</v>
      </c>
      <c r="AS472" s="123"/>
      <c r="AT472" s="123"/>
      <c r="AU472" s="123"/>
      <c r="AV472" s="123"/>
      <c r="AW472" s="123"/>
      <c r="AX472" s="123"/>
      <c r="AY472" s="123">
        <v>0</v>
      </c>
      <c r="AZ472" s="143"/>
      <c r="BA472" s="123"/>
      <c r="BB472" s="123"/>
      <c r="BC472" s="123"/>
      <c r="BD472" s="123"/>
      <c r="BE472" s="123"/>
      <c r="BF472" s="123">
        <f t="shared" si="623"/>
        <v>0</v>
      </c>
      <c r="BG472" s="123"/>
      <c r="BH472" s="123"/>
      <c r="BI472" s="123"/>
      <c r="BJ472" s="123"/>
      <c r="BK472" s="123"/>
      <c r="BL472" s="127"/>
      <c r="BM472" s="123"/>
      <c r="BN472" s="143">
        <f t="shared" si="624"/>
        <v>0</v>
      </c>
      <c r="BO472" s="123"/>
      <c r="BP472" s="143">
        <f t="shared" si="625"/>
        <v>0</v>
      </c>
      <c r="BQ472" s="123"/>
      <c r="BR472" s="123"/>
      <c r="BS472" s="123"/>
      <c r="BT472" s="123"/>
      <c r="BU472" s="123"/>
      <c r="BV472" s="123"/>
      <c r="BW472" s="123"/>
      <c r="BX472" s="123"/>
      <c r="BY472" s="123"/>
      <c r="BZ472" s="123"/>
      <c r="CA472" s="123"/>
      <c r="CB472" s="143"/>
      <c r="CC472" s="123"/>
      <c r="CD472" s="123"/>
      <c r="CE472" s="123"/>
      <c r="CF472" s="123"/>
      <c r="CG472" s="132"/>
      <c r="CH472" s="143">
        <f t="shared" si="627"/>
        <v>0</v>
      </c>
      <c r="CI472" s="123"/>
      <c r="CJ472" s="127"/>
      <c r="CK472" s="123"/>
      <c r="CL472" s="123"/>
      <c r="CM472" s="130"/>
      <c r="CN472" s="123"/>
      <c r="CO472" s="123"/>
      <c r="CP472" s="123"/>
      <c r="CQ472" s="123"/>
      <c r="CR472" s="123"/>
      <c r="CS472" s="123"/>
      <c r="CT472" s="143">
        <f t="shared" si="628"/>
        <v>0</v>
      </c>
      <c r="CU472" s="127"/>
      <c r="CV472" s="127"/>
      <c r="CW472" s="126">
        <f t="shared" si="612"/>
        <v>0</v>
      </c>
      <c r="CX472" s="126">
        <f t="shared" si="612"/>
        <v>0</v>
      </c>
    </row>
    <row r="473" spans="1:102" s="6" customFormat="1" ht="60" x14ac:dyDescent="0.25">
      <c r="A473" s="91"/>
      <c r="B473" s="116">
        <v>395</v>
      </c>
      <c r="C473" s="201" t="s">
        <v>1064</v>
      </c>
      <c r="D473" s="148" t="s">
        <v>1065</v>
      </c>
      <c r="E473" s="95">
        <v>28004</v>
      </c>
      <c r="F473" s="96">
        <v>29405</v>
      </c>
      <c r="G473" s="149">
        <v>0.96</v>
      </c>
      <c r="H473" s="107">
        <v>1</v>
      </c>
      <c r="I473" s="108"/>
      <c r="J473" s="108"/>
      <c r="K473" s="108"/>
      <c r="L473" s="163">
        <v>0.2429</v>
      </c>
      <c r="M473" s="120">
        <v>1.4</v>
      </c>
      <c r="N473" s="120">
        <v>1.68</v>
      </c>
      <c r="O473" s="120">
        <v>2.23</v>
      </c>
      <c r="P473" s="121">
        <v>2.57</v>
      </c>
      <c r="Q473" s="286">
        <v>0</v>
      </c>
      <c r="R473" s="143">
        <f t="shared" si="613"/>
        <v>0</v>
      </c>
      <c r="S473" s="157"/>
      <c r="T473" s="144"/>
      <c r="U473" s="143"/>
      <c r="V473" s="143">
        <f t="shared" si="614"/>
        <v>0</v>
      </c>
      <c r="W473" s="123"/>
      <c r="X473" s="143">
        <f t="shared" si="615"/>
        <v>0</v>
      </c>
      <c r="Y473" s="123"/>
      <c r="Z473" s="143">
        <f t="shared" si="616"/>
        <v>0</v>
      </c>
      <c r="AA473" s="123">
        <v>172</v>
      </c>
      <c r="AB473" s="143">
        <f>(AA473/12*2*$E473*$G473*((1-$L473)+$L473*$M473*$H473))+(AA473/12*10*$F473*$G473*((1-$L473)+$L473*$M473*$H473))</f>
        <v>5284798.1814527996</v>
      </c>
      <c r="AC473" s="123"/>
      <c r="AD473" s="123"/>
      <c r="AE473" s="123"/>
      <c r="AF473" s="143">
        <f t="shared" si="618"/>
        <v>0</v>
      </c>
      <c r="AG473" s="123">
        <v>0</v>
      </c>
      <c r="AH473" s="143">
        <f t="shared" si="619"/>
        <v>0</v>
      </c>
      <c r="AI473" s="123"/>
      <c r="AJ473" s="143">
        <f t="shared" si="620"/>
        <v>0</v>
      </c>
      <c r="AK473" s="123"/>
      <c r="AL473" s="143">
        <f>(AK473/12*2*$E473*$G473*((1-$L473)+$L473*$N473*$H473))+(AK473/12*10*$F473*$G473*((1-$L473)+$L473*$N473*$H473))</f>
        <v>0</v>
      </c>
      <c r="AM473" s="132"/>
      <c r="AN473" s="143">
        <f t="shared" si="621"/>
        <v>0</v>
      </c>
      <c r="AO473" s="130"/>
      <c r="AP473" s="143">
        <f t="shared" si="622"/>
        <v>0</v>
      </c>
      <c r="AQ473" s="143">
        <v>0</v>
      </c>
      <c r="AR473" s="143">
        <v>0</v>
      </c>
      <c r="AS473" s="123"/>
      <c r="AT473" s="123"/>
      <c r="AU473" s="123"/>
      <c r="AV473" s="123"/>
      <c r="AW473" s="123"/>
      <c r="AX473" s="123"/>
      <c r="AY473" s="123">
        <v>0</v>
      </c>
      <c r="AZ473" s="143"/>
      <c r="BA473" s="123"/>
      <c r="BB473" s="123"/>
      <c r="BC473" s="123"/>
      <c r="BD473" s="123"/>
      <c r="BE473" s="123"/>
      <c r="BF473" s="123">
        <f t="shared" si="623"/>
        <v>0</v>
      </c>
      <c r="BG473" s="123"/>
      <c r="BH473" s="123"/>
      <c r="BI473" s="123"/>
      <c r="BJ473" s="123"/>
      <c r="BK473" s="123"/>
      <c r="BL473" s="127"/>
      <c r="BM473" s="123">
        <v>14</v>
      </c>
      <c r="BN473" s="143">
        <f t="shared" si="624"/>
        <v>430157.99151359999</v>
      </c>
      <c r="BO473" s="123">
        <v>9</v>
      </c>
      <c r="BP473" s="143">
        <f>(BO473*$F473*$G473*((1-$L473)+$L473*$H473*$M473))</f>
        <v>278743.59187199996</v>
      </c>
      <c r="BQ473" s="123"/>
      <c r="BR473" s="123"/>
      <c r="BS473" s="123"/>
      <c r="BT473" s="123"/>
      <c r="BU473" s="123"/>
      <c r="BV473" s="123"/>
      <c r="BW473" s="123"/>
      <c r="BX473" s="123"/>
      <c r="BY473" s="123"/>
      <c r="BZ473" s="123"/>
      <c r="CA473" s="123"/>
      <c r="CB473" s="143"/>
      <c r="CC473" s="123"/>
      <c r="CD473" s="123"/>
      <c r="CE473" s="123"/>
      <c r="CF473" s="123"/>
      <c r="CG473" s="132"/>
      <c r="CH473" s="143">
        <f t="shared" si="627"/>
        <v>0</v>
      </c>
      <c r="CI473" s="123"/>
      <c r="CJ473" s="127"/>
      <c r="CK473" s="123"/>
      <c r="CL473" s="123"/>
      <c r="CM473" s="130"/>
      <c r="CN473" s="123"/>
      <c r="CO473" s="123"/>
      <c r="CP473" s="123"/>
      <c r="CQ473" s="123"/>
      <c r="CR473" s="123"/>
      <c r="CS473" s="123"/>
      <c r="CT473" s="143">
        <f t="shared" si="628"/>
        <v>0</v>
      </c>
      <c r="CU473" s="127"/>
      <c r="CV473" s="127"/>
      <c r="CW473" s="126">
        <f t="shared" si="612"/>
        <v>195</v>
      </c>
      <c r="CX473" s="126">
        <f t="shared" si="612"/>
        <v>5993699.7648383994</v>
      </c>
    </row>
    <row r="474" spans="1:102" s="6" customFormat="1" ht="60" x14ac:dyDescent="0.25">
      <c r="A474" s="91"/>
      <c r="B474" s="116">
        <v>396</v>
      </c>
      <c r="C474" s="201" t="s">
        <v>1066</v>
      </c>
      <c r="D474" s="148" t="s">
        <v>1067</v>
      </c>
      <c r="E474" s="95">
        <v>28004</v>
      </c>
      <c r="F474" s="96">
        <v>29405</v>
      </c>
      <c r="G474" s="149">
        <v>1.21</v>
      </c>
      <c r="H474" s="107">
        <v>1</v>
      </c>
      <c r="I474" s="108"/>
      <c r="J474" s="108"/>
      <c r="K474" s="108"/>
      <c r="L474" s="163">
        <v>0.19350000000000001</v>
      </c>
      <c r="M474" s="120">
        <v>1.4</v>
      </c>
      <c r="N474" s="120">
        <v>1.68</v>
      </c>
      <c r="O474" s="120">
        <v>2.23</v>
      </c>
      <c r="P474" s="121">
        <v>2.57</v>
      </c>
      <c r="Q474" s="286">
        <v>0</v>
      </c>
      <c r="R474" s="143">
        <f t="shared" si="613"/>
        <v>0</v>
      </c>
      <c r="S474" s="157"/>
      <c r="T474" s="144"/>
      <c r="U474" s="143"/>
      <c r="V474" s="143">
        <f t="shared" si="614"/>
        <v>0</v>
      </c>
      <c r="W474" s="123"/>
      <c r="X474" s="143">
        <f t="shared" si="615"/>
        <v>0</v>
      </c>
      <c r="Y474" s="123"/>
      <c r="Z474" s="143">
        <f t="shared" si="616"/>
        <v>0</v>
      </c>
      <c r="AA474" s="123">
        <v>36</v>
      </c>
      <c r="AB474" s="143">
        <f t="shared" si="617"/>
        <v>1369063.5357959999</v>
      </c>
      <c r="AC474" s="123"/>
      <c r="AD474" s="123"/>
      <c r="AE474" s="123"/>
      <c r="AF474" s="143">
        <f t="shared" si="618"/>
        <v>0</v>
      </c>
      <c r="AG474" s="123">
        <v>0</v>
      </c>
      <c r="AH474" s="143">
        <f t="shared" si="619"/>
        <v>0</v>
      </c>
      <c r="AI474" s="123"/>
      <c r="AJ474" s="143">
        <f t="shared" si="620"/>
        <v>0</v>
      </c>
      <c r="AK474" s="123"/>
      <c r="AL474" s="143">
        <f t="shared" si="626"/>
        <v>0</v>
      </c>
      <c r="AM474" s="132"/>
      <c r="AN474" s="143">
        <f t="shared" si="621"/>
        <v>0</v>
      </c>
      <c r="AO474" s="130"/>
      <c r="AP474" s="143">
        <f t="shared" si="622"/>
        <v>0</v>
      </c>
      <c r="AQ474" s="143">
        <v>0</v>
      </c>
      <c r="AR474" s="143">
        <v>0</v>
      </c>
      <c r="AS474" s="123"/>
      <c r="AT474" s="123"/>
      <c r="AU474" s="123"/>
      <c r="AV474" s="123"/>
      <c r="AW474" s="123"/>
      <c r="AX474" s="123"/>
      <c r="AY474" s="123">
        <v>0</v>
      </c>
      <c r="AZ474" s="143"/>
      <c r="BA474" s="123"/>
      <c r="BB474" s="123"/>
      <c r="BC474" s="123"/>
      <c r="BD474" s="123"/>
      <c r="BE474" s="123"/>
      <c r="BF474" s="123">
        <f t="shared" si="623"/>
        <v>0</v>
      </c>
      <c r="BG474" s="123"/>
      <c r="BH474" s="123"/>
      <c r="BI474" s="123"/>
      <c r="BJ474" s="123"/>
      <c r="BK474" s="123"/>
      <c r="BL474" s="127"/>
      <c r="BM474" s="123">
        <v>48</v>
      </c>
      <c r="BN474" s="143">
        <f t="shared" si="624"/>
        <v>1825418.0477279997</v>
      </c>
      <c r="BO474" s="123"/>
      <c r="BP474" s="143">
        <f t="shared" si="625"/>
        <v>0</v>
      </c>
      <c r="BQ474" s="123"/>
      <c r="BR474" s="123"/>
      <c r="BS474" s="123"/>
      <c r="BT474" s="123"/>
      <c r="BU474" s="123"/>
      <c r="BV474" s="123"/>
      <c r="BW474" s="123"/>
      <c r="BX474" s="123"/>
      <c r="BY474" s="123"/>
      <c r="BZ474" s="123"/>
      <c r="CA474" s="123"/>
      <c r="CB474" s="143"/>
      <c r="CC474" s="123"/>
      <c r="CD474" s="123"/>
      <c r="CE474" s="123"/>
      <c r="CF474" s="123"/>
      <c r="CG474" s="132"/>
      <c r="CH474" s="143">
        <f t="shared" si="627"/>
        <v>0</v>
      </c>
      <c r="CI474" s="123"/>
      <c r="CJ474" s="127"/>
      <c r="CK474" s="123"/>
      <c r="CL474" s="123"/>
      <c r="CM474" s="130"/>
      <c r="CN474" s="123"/>
      <c r="CO474" s="123"/>
      <c r="CP474" s="123"/>
      <c r="CQ474" s="123"/>
      <c r="CR474" s="123"/>
      <c r="CS474" s="123"/>
      <c r="CT474" s="143">
        <f t="shared" si="628"/>
        <v>0</v>
      </c>
      <c r="CU474" s="127"/>
      <c r="CV474" s="127"/>
      <c r="CW474" s="126">
        <f t="shared" si="612"/>
        <v>84</v>
      </c>
      <c r="CX474" s="126">
        <f t="shared" si="612"/>
        <v>3194481.5835239999</v>
      </c>
    </row>
    <row r="475" spans="1:102" s="6" customFormat="1" ht="60" x14ac:dyDescent="0.25">
      <c r="A475" s="91"/>
      <c r="B475" s="116">
        <v>397</v>
      </c>
      <c r="C475" s="201" t="s">
        <v>1068</v>
      </c>
      <c r="D475" s="148" t="s">
        <v>1069</v>
      </c>
      <c r="E475" s="95">
        <v>28004</v>
      </c>
      <c r="F475" s="96">
        <v>29405</v>
      </c>
      <c r="G475" s="149">
        <v>1.43</v>
      </c>
      <c r="H475" s="107">
        <v>1</v>
      </c>
      <c r="I475" s="108"/>
      <c r="J475" s="108"/>
      <c r="K475" s="108"/>
      <c r="L475" s="163">
        <v>0.1646</v>
      </c>
      <c r="M475" s="120">
        <v>1.4</v>
      </c>
      <c r="N475" s="120">
        <v>1.68</v>
      </c>
      <c r="O475" s="120">
        <v>2.23</v>
      </c>
      <c r="P475" s="121">
        <v>2.57</v>
      </c>
      <c r="Q475" s="286">
        <v>80</v>
      </c>
      <c r="R475" s="143">
        <f t="shared" si="613"/>
        <v>3556942.1384640005</v>
      </c>
      <c r="S475" s="157"/>
      <c r="T475" s="144"/>
      <c r="U475" s="143"/>
      <c r="V475" s="143">
        <f t="shared" si="614"/>
        <v>0</v>
      </c>
      <c r="W475" s="123"/>
      <c r="X475" s="143">
        <f t="shared" si="615"/>
        <v>0</v>
      </c>
      <c r="Y475" s="123"/>
      <c r="Z475" s="143">
        <f t="shared" si="616"/>
        <v>0</v>
      </c>
      <c r="AA475" s="123">
        <v>4</v>
      </c>
      <c r="AB475" s="143">
        <f>(AA475*$F475*$G475*((1-$L475)+$L475*$M475*$H475))</f>
        <v>179270.66414400004</v>
      </c>
      <c r="AC475" s="123"/>
      <c r="AD475" s="123"/>
      <c r="AE475" s="123"/>
      <c r="AF475" s="143">
        <f t="shared" si="618"/>
        <v>0</v>
      </c>
      <c r="AG475" s="123">
        <v>0</v>
      </c>
      <c r="AH475" s="143">
        <f t="shared" si="619"/>
        <v>0</v>
      </c>
      <c r="AI475" s="123"/>
      <c r="AJ475" s="143">
        <f t="shared" si="620"/>
        <v>0</v>
      </c>
      <c r="AK475" s="123"/>
      <c r="AL475" s="143">
        <f t="shared" si="626"/>
        <v>0</v>
      </c>
      <c r="AM475" s="132"/>
      <c r="AN475" s="143">
        <f t="shared" si="621"/>
        <v>0</v>
      </c>
      <c r="AO475" s="130"/>
      <c r="AP475" s="143">
        <f t="shared" si="622"/>
        <v>0</v>
      </c>
      <c r="AQ475" s="143">
        <v>0</v>
      </c>
      <c r="AR475" s="143">
        <v>0</v>
      </c>
      <c r="AS475" s="123"/>
      <c r="AT475" s="123"/>
      <c r="AU475" s="123"/>
      <c r="AV475" s="123"/>
      <c r="AW475" s="123"/>
      <c r="AX475" s="123"/>
      <c r="AY475" s="123">
        <v>0</v>
      </c>
      <c r="AZ475" s="143"/>
      <c r="BA475" s="123"/>
      <c r="BB475" s="123"/>
      <c r="BC475" s="123"/>
      <c r="BD475" s="123"/>
      <c r="BE475" s="123"/>
      <c r="BF475" s="123">
        <f t="shared" si="623"/>
        <v>0</v>
      </c>
      <c r="BG475" s="123"/>
      <c r="BH475" s="123"/>
      <c r="BI475" s="123"/>
      <c r="BJ475" s="123"/>
      <c r="BK475" s="123"/>
      <c r="BL475" s="127"/>
      <c r="BM475" s="123">
        <v>8</v>
      </c>
      <c r="BN475" s="143">
        <f t="shared" si="624"/>
        <v>355694.21384639997</v>
      </c>
      <c r="BO475" s="123"/>
      <c r="BP475" s="143">
        <f t="shared" si="625"/>
        <v>0</v>
      </c>
      <c r="BQ475" s="123"/>
      <c r="BR475" s="123"/>
      <c r="BS475" s="123"/>
      <c r="BT475" s="123"/>
      <c r="BU475" s="123"/>
      <c r="BV475" s="123"/>
      <c r="BW475" s="123"/>
      <c r="BX475" s="123"/>
      <c r="BY475" s="123"/>
      <c r="BZ475" s="123"/>
      <c r="CA475" s="123"/>
      <c r="CB475" s="143"/>
      <c r="CC475" s="123"/>
      <c r="CD475" s="123"/>
      <c r="CE475" s="123"/>
      <c r="CF475" s="123"/>
      <c r="CG475" s="132"/>
      <c r="CH475" s="143">
        <f t="shared" si="627"/>
        <v>0</v>
      </c>
      <c r="CI475" s="123"/>
      <c r="CJ475" s="127"/>
      <c r="CK475" s="123"/>
      <c r="CL475" s="123"/>
      <c r="CM475" s="130"/>
      <c r="CN475" s="123"/>
      <c r="CO475" s="123"/>
      <c r="CP475" s="123"/>
      <c r="CQ475" s="123"/>
      <c r="CR475" s="123"/>
      <c r="CS475" s="123"/>
      <c r="CT475" s="143">
        <f t="shared" si="628"/>
        <v>0</v>
      </c>
      <c r="CU475" s="127"/>
      <c r="CV475" s="127"/>
      <c r="CW475" s="126">
        <f t="shared" si="612"/>
        <v>92</v>
      </c>
      <c r="CX475" s="126">
        <f t="shared" si="612"/>
        <v>4091907.0164544005</v>
      </c>
    </row>
    <row r="476" spans="1:102" s="6" customFormat="1" ht="60" x14ac:dyDescent="0.25">
      <c r="A476" s="91"/>
      <c r="B476" s="116">
        <v>398</v>
      </c>
      <c r="C476" s="201" t="s">
        <v>1070</v>
      </c>
      <c r="D476" s="148" t="s">
        <v>1071</v>
      </c>
      <c r="E476" s="95">
        <v>28004</v>
      </c>
      <c r="F476" s="96">
        <v>29405</v>
      </c>
      <c r="G476" s="149">
        <v>1.66</v>
      </c>
      <c r="H476" s="107">
        <v>1</v>
      </c>
      <c r="I476" s="108"/>
      <c r="J476" s="108"/>
      <c r="K476" s="108"/>
      <c r="L476" s="163">
        <v>0.1409</v>
      </c>
      <c r="M476" s="120">
        <v>1.4</v>
      </c>
      <c r="N476" s="120">
        <v>1.68</v>
      </c>
      <c r="O476" s="120">
        <v>2.23</v>
      </c>
      <c r="P476" s="121">
        <v>2.57</v>
      </c>
      <c r="Q476" s="286">
        <v>100</v>
      </c>
      <c r="R476" s="143">
        <f t="shared" si="613"/>
        <v>5115390.55284</v>
      </c>
      <c r="S476" s="157"/>
      <c r="T476" s="144"/>
      <c r="U476" s="143">
        <v>10</v>
      </c>
      <c r="V476" s="143">
        <f t="shared" si="614"/>
        <v>511539.055284</v>
      </c>
      <c r="W476" s="123"/>
      <c r="X476" s="143">
        <f t="shared" si="615"/>
        <v>0</v>
      </c>
      <c r="Y476" s="123"/>
      <c r="Z476" s="143">
        <f t="shared" si="616"/>
        <v>0</v>
      </c>
      <c r="AA476" s="123">
        <v>13</v>
      </c>
      <c r="AB476" s="143">
        <f>(AA476/12*2*$E476*$G476*((1-$L476)+$L476*$M476*$H476))+(AA476/12*10*$F476*$G476*((1-$L476)+$L476*$M476*$H476))</f>
        <v>665000.77186919993</v>
      </c>
      <c r="AC476" s="123"/>
      <c r="AD476" s="123"/>
      <c r="AE476" s="123"/>
      <c r="AF476" s="143">
        <f t="shared" si="618"/>
        <v>0</v>
      </c>
      <c r="AG476" s="123">
        <v>0</v>
      </c>
      <c r="AH476" s="143">
        <f t="shared" si="619"/>
        <v>0</v>
      </c>
      <c r="AI476" s="123"/>
      <c r="AJ476" s="143">
        <f t="shared" si="620"/>
        <v>0</v>
      </c>
      <c r="AK476" s="123"/>
      <c r="AL476" s="143">
        <f t="shared" si="626"/>
        <v>0</v>
      </c>
      <c r="AM476" s="132"/>
      <c r="AN476" s="143">
        <f t="shared" si="621"/>
        <v>0</v>
      </c>
      <c r="AO476" s="130"/>
      <c r="AP476" s="143">
        <f t="shared" si="622"/>
        <v>0</v>
      </c>
      <c r="AQ476" s="143">
        <v>0</v>
      </c>
      <c r="AR476" s="143">
        <v>0</v>
      </c>
      <c r="AS476" s="123"/>
      <c r="AT476" s="123"/>
      <c r="AU476" s="123"/>
      <c r="AV476" s="123"/>
      <c r="AW476" s="123"/>
      <c r="AX476" s="123"/>
      <c r="AY476" s="123">
        <v>0</v>
      </c>
      <c r="AZ476" s="143"/>
      <c r="BA476" s="123"/>
      <c r="BB476" s="123"/>
      <c r="BC476" s="123"/>
      <c r="BD476" s="123"/>
      <c r="BE476" s="123"/>
      <c r="BF476" s="123">
        <f t="shared" si="623"/>
        <v>0</v>
      </c>
      <c r="BG476" s="123"/>
      <c r="BH476" s="123"/>
      <c r="BI476" s="123"/>
      <c r="BJ476" s="123"/>
      <c r="BK476" s="123"/>
      <c r="BL476" s="127"/>
      <c r="BM476" s="123">
        <v>4</v>
      </c>
      <c r="BN476" s="143">
        <f t="shared" si="624"/>
        <v>204615.62211359999</v>
      </c>
      <c r="BO476" s="123">
        <v>217</v>
      </c>
      <c r="BP476" s="143">
        <f>(BO476/12*2*$E476*$G476*((1-$L476)+$L476*$H476*$M476))+(BO476/12*10*$F476*$G476*((1-$L476)+$L476*$H476*$M476))</f>
        <v>11100397.499662798</v>
      </c>
      <c r="BQ476" s="123"/>
      <c r="BR476" s="123"/>
      <c r="BS476" s="123"/>
      <c r="BT476" s="123"/>
      <c r="BU476" s="123"/>
      <c r="BV476" s="123"/>
      <c r="BW476" s="123"/>
      <c r="BX476" s="123"/>
      <c r="BY476" s="123"/>
      <c r="BZ476" s="123"/>
      <c r="CA476" s="123"/>
      <c r="CB476" s="143"/>
      <c r="CC476" s="123"/>
      <c r="CD476" s="123"/>
      <c r="CE476" s="123"/>
      <c r="CF476" s="123"/>
      <c r="CG476" s="132"/>
      <c r="CH476" s="143">
        <f t="shared" si="627"/>
        <v>0</v>
      </c>
      <c r="CI476" s="123"/>
      <c r="CJ476" s="127"/>
      <c r="CK476" s="123"/>
      <c r="CL476" s="123"/>
      <c r="CM476" s="130"/>
      <c r="CN476" s="123"/>
      <c r="CO476" s="123"/>
      <c r="CP476" s="123"/>
      <c r="CQ476" s="123"/>
      <c r="CR476" s="123"/>
      <c r="CS476" s="123"/>
      <c r="CT476" s="143">
        <f t="shared" si="628"/>
        <v>0</v>
      </c>
      <c r="CU476" s="127"/>
      <c r="CV476" s="127"/>
      <c r="CW476" s="126">
        <f t="shared" si="612"/>
        <v>344</v>
      </c>
      <c r="CX476" s="126">
        <f t="shared" si="612"/>
        <v>17596943.501769599</v>
      </c>
    </row>
    <row r="477" spans="1:102" s="6" customFormat="1" ht="60" x14ac:dyDescent="0.25">
      <c r="A477" s="91"/>
      <c r="B477" s="116">
        <v>399</v>
      </c>
      <c r="C477" s="201" t="s">
        <v>1072</v>
      </c>
      <c r="D477" s="148" t="s">
        <v>1073</v>
      </c>
      <c r="E477" s="95">
        <v>28004</v>
      </c>
      <c r="F477" s="96">
        <v>29405</v>
      </c>
      <c r="G477" s="149">
        <v>1.82</v>
      </c>
      <c r="H477" s="107">
        <v>1</v>
      </c>
      <c r="I477" s="108"/>
      <c r="J477" s="108"/>
      <c r="K477" s="108"/>
      <c r="L477" s="163">
        <v>0.12870000000000001</v>
      </c>
      <c r="M477" s="120">
        <v>1.4</v>
      </c>
      <c r="N477" s="120">
        <v>1.68</v>
      </c>
      <c r="O477" s="120">
        <v>2.23</v>
      </c>
      <c r="P477" s="121">
        <v>2.57</v>
      </c>
      <c r="Q477" s="286">
        <v>100</v>
      </c>
      <c r="R477" s="143">
        <f t="shared" si="613"/>
        <v>5582531.285240001</v>
      </c>
      <c r="S477" s="157"/>
      <c r="T477" s="144"/>
      <c r="U477" s="143">
        <v>25</v>
      </c>
      <c r="V477" s="143">
        <f t="shared" si="614"/>
        <v>1395632.8213100003</v>
      </c>
      <c r="W477" s="123"/>
      <c r="X477" s="143">
        <f t="shared" si="615"/>
        <v>0</v>
      </c>
      <c r="Y477" s="123"/>
      <c r="Z477" s="143">
        <f t="shared" si="616"/>
        <v>0</v>
      </c>
      <c r="AA477" s="123"/>
      <c r="AB477" s="143">
        <f>(AA477/12*2*$E477*$G477*((1-$L477)+$L477*$M477*$H477))+(AA477/12*10*$F477*$G477*((1-$L477)+$L477*$M477*$H477))</f>
        <v>0</v>
      </c>
      <c r="AC477" s="123"/>
      <c r="AD477" s="123"/>
      <c r="AE477" s="123"/>
      <c r="AF477" s="143">
        <f t="shared" si="618"/>
        <v>0</v>
      </c>
      <c r="AG477" s="123">
        <v>0</v>
      </c>
      <c r="AH477" s="143">
        <f t="shared" si="619"/>
        <v>0</v>
      </c>
      <c r="AI477" s="123"/>
      <c r="AJ477" s="143">
        <f t="shared" si="620"/>
        <v>0</v>
      </c>
      <c r="AK477" s="123"/>
      <c r="AL477" s="143">
        <f t="shared" si="626"/>
        <v>0</v>
      </c>
      <c r="AM477" s="132"/>
      <c r="AN477" s="143">
        <f t="shared" si="621"/>
        <v>0</v>
      </c>
      <c r="AO477" s="130"/>
      <c r="AP477" s="143">
        <f t="shared" si="622"/>
        <v>0</v>
      </c>
      <c r="AQ477" s="143">
        <v>0</v>
      </c>
      <c r="AR477" s="143">
        <v>0</v>
      </c>
      <c r="AS477" s="123"/>
      <c r="AT477" s="123"/>
      <c r="AU477" s="123"/>
      <c r="AV477" s="123"/>
      <c r="AW477" s="123"/>
      <c r="AX477" s="123"/>
      <c r="AY477" s="123">
        <v>0</v>
      </c>
      <c r="AZ477" s="143"/>
      <c r="BA477" s="123"/>
      <c r="BB477" s="123"/>
      <c r="BC477" s="123"/>
      <c r="BD477" s="123"/>
      <c r="BE477" s="123"/>
      <c r="BF477" s="123">
        <f t="shared" si="623"/>
        <v>0</v>
      </c>
      <c r="BG477" s="123"/>
      <c r="BH477" s="123"/>
      <c r="BI477" s="123"/>
      <c r="BJ477" s="123"/>
      <c r="BK477" s="123"/>
      <c r="BL477" s="127"/>
      <c r="BM477" s="123"/>
      <c r="BN477" s="143">
        <f t="shared" si="624"/>
        <v>0</v>
      </c>
      <c r="BO477" s="123"/>
      <c r="BP477" s="143">
        <f t="shared" si="625"/>
        <v>0</v>
      </c>
      <c r="BQ477" s="123"/>
      <c r="BR477" s="123"/>
      <c r="BS477" s="123"/>
      <c r="BT477" s="123"/>
      <c r="BU477" s="123"/>
      <c r="BV477" s="123"/>
      <c r="BW477" s="123"/>
      <c r="BX477" s="123"/>
      <c r="BY477" s="123"/>
      <c r="BZ477" s="123"/>
      <c r="CA477" s="123"/>
      <c r="CB477" s="143"/>
      <c r="CC477" s="123"/>
      <c r="CD477" s="123"/>
      <c r="CE477" s="123"/>
      <c r="CF477" s="123"/>
      <c r="CG477" s="132">
        <v>48</v>
      </c>
      <c r="CH477" s="143">
        <f t="shared" si="627"/>
        <v>2771449.9607558399</v>
      </c>
      <c r="CI477" s="123"/>
      <c r="CJ477" s="127"/>
      <c r="CK477" s="123"/>
      <c r="CL477" s="123"/>
      <c r="CM477" s="130"/>
      <c r="CN477" s="123"/>
      <c r="CO477" s="123"/>
      <c r="CP477" s="123"/>
      <c r="CQ477" s="123"/>
      <c r="CR477" s="123"/>
      <c r="CS477" s="123"/>
      <c r="CT477" s="143">
        <f t="shared" si="628"/>
        <v>0</v>
      </c>
      <c r="CU477" s="127"/>
      <c r="CV477" s="127"/>
      <c r="CW477" s="126">
        <f t="shared" si="612"/>
        <v>173</v>
      </c>
      <c r="CX477" s="126">
        <f t="shared" si="612"/>
        <v>9749614.0673058406</v>
      </c>
    </row>
    <row r="478" spans="1:102" s="6" customFormat="1" ht="60" x14ac:dyDescent="0.25">
      <c r="A478" s="91"/>
      <c r="B478" s="116">
        <v>400</v>
      </c>
      <c r="C478" s="201" t="s">
        <v>1074</v>
      </c>
      <c r="D478" s="148" t="s">
        <v>1075</v>
      </c>
      <c r="E478" s="95">
        <v>28004</v>
      </c>
      <c r="F478" s="96">
        <v>29405</v>
      </c>
      <c r="G478" s="149">
        <v>2.14</v>
      </c>
      <c r="H478" s="107">
        <v>1</v>
      </c>
      <c r="I478" s="108"/>
      <c r="J478" s="108"/>
      <c r="K478" s="108"/>
      <c r="L478" s="163">
        <v>0.1094</v>
      </c>
      <c r="M478" s="120">
        <v>1.4</v>
      </c>
      <c r="N478" s="120">
        <v>1.68</v>
      </c>
      <c r="O478" s="120">
        <v>2.23</v>
      </c>
      <c r="P478" s="121">
        <v>2.57</v>
      </c>
      <c r="Q478" s="286">
        <v>27</v>
      </c>
      <c r="R478" s="143">
        <f t="shared" si="613"/>
        <v>1759288.0308552</v>
      </c>
      <c r="S478" s="157"/>
      <c r="T478" s="144"/>
      <c r="U478" s="143">
        <v>15</v>
      </c>
      <c r="V478" s="143">
        <f t="shared" si="614"/>
        <v>977382.23936399992</v>
      </c>
      <c r="W478" s="123"/>
      <c r="X478" s="143">
        <f t="shared" si="615"/>
        <v>0</v>
      </c>
      <c r="Y478" s="123"/>
      <c r="Z478" s="143">
        <f t="shared" si="616"/>
        <v>0</v>
      </c>
      <c r="AA478" s="123"/>
      <c r="AB478" s="143">
        <f t="shared" si="617"/>
        <v>0</v>
      </c>
      <c r="AC478" s="123"/>
      <c r="AD478" s="123"/>
      <c r="AE478" s="123"/>
      <c r="AF478" s="143">
        <f t="shared" si="618"/>
        <v>0</v>
      </c>
      <c r="AG478" s="123">
        <v>0</v>
      </c>
      <c r="AH478" s="143">
        <f t="shared" si="619"/>
        <v>0</v>
      </c>
      <c r="AI478" s="123"/>
      <c r="AJ478" s="143">
        <f t="shared" si="620"/>
        <v>0</v>
      </c>
      <c r="AK478" s="123"/>
      <c r="AL478" s="143">
        <f t="shared" si="626"/>
        <v>0</v>
      </c>
      <c r="AM478" s="132"/>
      <c r="AN478" s="143">
        <f t="shared" si="621"/>
        <v>0</v>
      </c>
      <c r="AO478" s="130"/>
      <c r="AP478" s="143">
        <f t="shared" si="622"/>
        <v>0</v>
      </c>
      <c r="AQ478" s="143">
        <v>0</v>
      </c>
      <c r="AR478" s="143">
        <v>0</v>
      </c>
      <c r="AS478" s="123"/>
      <c r="AT478" s="123"/>
      <c r="AU478" s="123"/>
      <c r="AV478" s="123"/>
      <c r="AW478" s="123"/>
      <c r="AX478" s="123"/>
      <c r="AY478" s="123">
        <v>0</v>
      </c>
      <c r="AZ478" s="143"/>
      <c r="BA478" s="123"/>
      <c r="BB478" s="123"/>
      <c r="BC478" s="123"/>
      <c r="BD478" s="123"/>
      <c r="BE478" s="123"/>
      <c r="BF478" s="123">
        <f t="shared" si="623"/>
        <v>0</v>
      </c>
      <c r="BG478" s="123"/>
      <c r="BH478" s="123"/>
      <c r="BI478" s="123"/>
      <c r="BJ478" s="123"/>
      <c r="BK478" s="123"/>
      <c r="BL478" s="127"/>
      <c r="BM478" s="123"/>
      <c r="BN478" s="143">
        <f t="shared" si="624"/>
        <v>0</v>
      </c>
      <c r="BO478" s="123"/>
      <c r="BP478" s="143">
        <f t="shared" si="625"/>
        <v>0</v>
      </c>
      <c r="BQ478" s="123"/>
      <c r="BR478" s="123"/>
      <c r="BS478" s="123"/>
      <c r="BT478" s="123"/>
      <c r="BU478" s="123"/>
      <c r="BV478" s="123"/>
      <c r="BW478" s="123"/>
      <c r="BX478" s="123"/>
      <c r="BY478" s="123"/>
      <c r="BZ478" s="123"/>
      <c r="CA478" s="123"/>
      <c r="CB478" s="143"/>
      <c r="CC478" s="123"/>
      <c r="CD478" s="123"/>
      <c r="CE478" s="123"/>
      <c r="CF478" s="123"/>
      <c r="CG478" s="132"/>
      <c r="CH478" s="143">
        <f t="shared" si="627"/>
        <v>0</v>
      </c>
      <c r="CI478" s="123"/>
      <c r="CJ478" s="127"/>
      <c r="CK478" s="123"/>
      <c r="CL478" s="123"/>
      <c r="CM478" s="130"/>
      <c r="CN478" s="123"/>
      <c r="CO478" s="123"/>
      <c r="CP478" s="123"/>
      <c r="CQ478" s="123"/>
      <c r="CR478" s="123"/>
      <c r="CS478" s="123"/>
      <c r="CT478" s="143">
        <f t="shared" si="628"/>
        <v>0</v>
      </c>
      <c r="CU478" s="127"/>
      <c r="CV478" s="127"/>
      <c r="CW478" s="126">
        <f t="shared" si="612"/>
        <v>42</v>
      </c>
      <c r="CX478" s="126">
        <f t="shared" si="612"/>
        <v>2736670.2702191998</v>
      </c>
    </row>
    <row r="479" spans="1:102" s="6" customFormat="1" ht="60" x14ac:dyDescent="0.25">
      <c r="A479" s="91"/>
      <c r="B479" s="116">
        <v>401</v>
      </c>
      <c r="C479" s="201" t="s">
        <v>1076</v>
      </c>
      <c r="D479" s="148" t="s">
        <v>1077</v>
      </c>
      <c r="E479" s="95">
        <v>28004</v>
      </c>
      <c r="F479" s="96">
        <v>29405</v>
      </c>
      <c r="G479" s="149">
        <v>2.4900000000000002</v>
      </c>
      <c r="H479" s="107">
        <v>1</v>
      </c>
      <c r="I479" s="108"/>
      <c r="J479" s="108"/>
      <c r="K479" s="108"/>
      <c r="L479" s="163">
        <v>9.4600000000000004E-2</v>
      </c>
      <c r="M479" s="120">
        <v>1.4</v>
      </c>
      <c r="N479" s="120">
        <v>1.68</v>
      </c>
      <c r="O479" s="120">
        <v>2.23</v>
      </c>
      <c r="P479" s="121">
        <v>2.57</v>
      </c>
      <c r="Q479" s="286">
        <v>60</v>
      </c>
      <c r="R479" s="143">
        <f t="shared" si="613"/>
        <v>4523137.2242640005</v>
      </c>
      <c r="S479" s="157"/>
      <c r="T479" s="144"/>
      <c r="U479" s="143">
        <v>6</v>
      </c>
      <c r="V479" s="143">
        <f t="shared" si="614"/>
        <v>452313.72242640011</v>
      </c>
      <c r="W479" s="123"/>
      <c r="X479" s="143">
        <f t="shared" si="615"/>
        <v>0</v>
      </c>
      <c r="Y479" s="123"/>
      <c r="Z479" s="143">
        <f t="shared" si="616"/>
        <v>0</v>
      </c>
      <c r="AA479" s="123"/>
      <c r="AB479" s="143">
        <f t="shared" si="617"/>
        <v>0</v>
      </c>
      <c r="AC479" s="123"/>
      <c r="AD479" s="123"/>
      <c r="AE479" s="123"/>
      <c r="AF479" s="143">
        <f t="shared" si="618"/>
        <v>0</v>
      </c>
      <c r="AG479" s="123">
        <v>0</v>
      </c>
      <c r="AH479" s="143">
        <f t="shared" si="619"/>
        <v>0</v>
      </c>
      <c r="AI479" s="123"/>
      <c r="AJ479" s="143">
        <f t="shared" si="620"/>
        <v>0</v>
      </c>
      <c r="AK479" s="123"/>
      <c r="AL479" s="143">
        <f t="shared" si="626"/>
        <v>0</v>
      </c>
      <c r="AM479" s="132"/>
      <c r="AN479" s="143">
        <f t="shared" si="621"/>
        <v>0</v>
      </c>
      <c r="AO479" s="130"/>
      <c r="AP479" s="143">
        <f t="shared" si="622"/>
        <v>0</v>
      </c>
      <c r="AQ479" s="143">
        <v>0</v>
      </c>
      <c r="AR479" s="143">
        <v>0</v>
      </c>
      <c r="AS479" s="123"/>
      <c r="AT479" s="123"/>
      <c r="AU479" s="123"/>
      <c r="AV479" s="123"/>
      <c r="AW479" s="123"/>
      <c r="AX479" s="123"/>
      <c r="AY479" s="123">
        <v>0</v>
      </c>
      <c r="AZ479" s="143"/>
      <c r="BA479" s="123"/>
      <c r="BB479" s="123"/>
      <c r="BC479" s="123"/>
      <c r="BD479" s="123"/>
      <c r="BE479" s="123"/>
      <c r="BF479" s="123">
        <f t="shared" si="623"/>
        <v>0</v>
      </c>
      <c r="BG479" s="123"/>
      <c r="BH479" s="123"/>
      <c r="BI479" s="123"/>
      <c r="BJ479" s="123"/>
      <c r="BK479" s="123"/>
      <c r="BL479" s="127"/>
      <c r="BM479" s="123"/>
      <c r="BN479" s="143">
        <f t="shared" si="624"/>
        <v>0</v>
      </c>
      <c r="BO479" s="123">
        <v>1</v>
      </c>
      <c r="BP479" s="143">
        <f>(BO479*$F479*$G479*((1-$L479)+$L479*$H479*$M479))</f>
        <v>75989.036148000014</v>
      </c>
      <c r="BQ479" s="123"/>
      <c r="BR479" s="123"/>
      <c r="BS479" s="123"/>
      <c r="BT479" s="123"/>
      <c r="BU479" s="123"/>
      <c r="BV479" s="123"/>
      <c r="BW479" s="123"/>
      <c r="BX479" s="123"/>
      <c r="BY479" s="123"/>
      <c r="BZ479" s="123"/>
      <c r="CA479" s="123"/>
      <c r="CB479" s="143"/>
      <c r="CC479" s="123"/>
      <c r="CD479" s="123"/>
      <c r="CE479" s="123"/>
      <c r="CF479" s="123"/>
      <c r="CG479" s="132">
        <v>124</v>
      </c>
      <c r="CH479" s="143">
        <f t="shared" si="627"/>
        <v>9586394.1432475224</v>
      </c>
      <c r="CI479" s="123"/>
      <c r="CJ479" s="127"/>
      <c r="CK479" s="123"/>
      <c r="CL479" s="123"/>
      <c r="CM479" s="130"/>
      <c r="CN479" s="123"/>
      <c r="CO479" s="123"/>
      <c r="CP479" s="123"/>
      <c r="CQ479" s="123"/>
      <c r="CR479" s="123"/>
      <c r="CS479" s="123"/>
      <c r="CT479" s="143">
        <f t="shared" si="628"/>
        <v>0</v>
      </c>
      <c r="CU479" s="127"/>
      <c r="CV479" s="127"/>
      <c r="CW479" s="126">
        <f t="shared" si="612"/>
        <v>191</v>
      </c>
      <c r="CX479" s="126">
        <f t="shared" si="612"/>
        <v>14637834.126085922</v>
      </c>
    </row>
    <row r="480" spans="1:102" s="6" customFormat="1" ht="60" x14ac:dyDescent="0.25">
      <c r="A480" s="91"/>
      <c r="B480" s="116">
        <v>402</v>
      </c>
      <c r="C480" s="201" t="s">
        <v>1078</v>
      </c>
      <c r="D480" s="148" t="s">
        <v>1079</v>
      </c>
      <c r="E480" s="95">
        <v>28004</v>
      </c>
      <c r="F480" s="96">
        <v>29405</v>
      </c>
      <c r="G480" s="149">
        <v>3.01</v>
      </c>
      <c r="H480" s="107">
        <v>1</v>
      </c>
      <c r="I480" s="108"/>
      <c r="J480" s="108"/>
      <c r="K480" s="108"/>
      <c r="L480" s="163">
        <v>7.8299999999999995E-2</v>
      </c>
      <c r="M480" s="120">
        <v>1.4</v>
      </c>
      <c r="N480" s="120">
        <v>1.68</v>
      </c>
      <c r="O480" s="120">
        <v>2.23</v>
      </c>
      <c r="P480" s="121">
        <v>2.57</v>
      </c>
      <c r="Q480" s="286">
        <v>5</v>
      </c>
      <c r="R480" s="143">
        <f t="shared" si="613"/>
        <v>452781.528269</v>
      </c>
      <c r="S480" s="157"/>
      <c r="T480" s="144"/>
      <c r="U480" s="143"/>
      <c r="V480" s="143">
        <f t="shared" si="614"/>
        <v>0</v>
      </c>
      <c r="W480" s="123"/>
      <c r="X480" s="143">
        <f t="shared" si="615"/>
        <v>0</v>
      </c>
      <c r="Y480" s="123"/>
      <c r="Z480" s="143">
        <f t="shared" si="616"/>
        <v>0</v>
      </c>
      <c r="AA480" s="123">
        <v>124</v>
      </c>
      <c r="AB480" s="143">
        <f t="shared" si="617"/>
        <v>11228981.901071198</v>
      </c>
      <c r="AC480" s="123"/>
      <c r="AD480" s="123"/>
      <c r="AE480" s="123"/>
      <c r="AF480" s="143">
        <f t="shared" si="618"/>
        <v>0</v>
      </c>
      <c r="AG480" s="123">
        <v>0</v>
      </c>
      <c r="AH480" s="143">
        <f t="shared" si="619"/>
        <v>0</v>
      </c>
      <c r="AI480" s="123"/>
      <c r="AJ480" s="143">
        <f t="shared" si="620"/>
        <v>0</v>
      </c>
      <c r="AK480" s="123"/>
      <c r="AL480" s="143">
        <f t="shared" si="626"/>
        <v>0</v>
      </c>
      <c r="AM480" s="132"/>
      <c r="AN480" s="143">
        <f t="shared" si="621"/>
        <v>0</v>
      </c>
      <c r="AO480" s="130"/>
      <c r="AP480" s="143">
        <f t="shared" si="622"/>
        <v>0</v>
      </c>
      <c r="AQ480" s="143">
        <v>0</v>
      </c>
      <c r="AR480" s="143">
        <v>0</v>
      </c>
      <c r="AS480" s="123"/>
      <c r="AT480" s="123"/>
      <c r="AU480" s="123"/>
      <c r="AV480" s="123"/>
      <c r="AW480" s="123"/>
      <c r="AX480" s="123"/>
      <c r="AY480" s="123">
        <v>0</v>
      </c>
      <c r="AZ480" s="143"/>
      <c r="BA480" s="123"/>
      <c r="BB480" s="123"/>
      <c r="BC480" s="123"/>
      <c r="BD480" s="123"/>
      <c r="BE480" s="123"/>
      <c r="BF480" s="123">
        <f t="shared" si="623"/>
        <v>0</v>
      </c>
      <c r="BG480" s="123"/>
      <c r="BH480" s="123"/>
      <c r="BI480" s="123"/>
      <c r="BJ480" s="123"/>
      <c r="BK480" s="123"/>
      <c r="BL480" s="127"/>
      <c r="BM480" s="123"/>
      <c r="BN480" s="143">
        <f t="shared" si="624"/>
        <v>0</v>
      </c>
      <c r="BO480" s="123"/>
      <c r="BP480" s="143">
        <f t="shared" si="625"/>
        <v>0</v>
      </c>
      <c r="BQ480" s="123"/>
      <c r="BR480" s="123"/>
      <c r="BS480" s="123"/>
      <c r="BT480" s="123"/>
      <c r="BU480" s="123"/>
      <c r="BV480" s="123"/>
      <c r="BW480" s="123"/>
      <c r="BX480" s="123"/>
      <c r="BY480" s="123"/>
      <c r="BZ480" s="123"/>
      <c r="CA480" s="123"/>
      <c r="CB480" s="143"/>
      <c r="CC480" s="123"/>
      <c r="CD480" s="123"/>
      <c r="CE480" s="123"/>
      <c r="CF480" s="123"/>
      <c r="CG480" s="132"/>
      <c r="CH480" s="143">
        <f t="shared" si="627"/>
        <v>0</v>
      </c>
      <c r="CI480" s="123"/>
      <c r="CJ480" s="127"/>
      <c r="CK480" s="123"/>
      <c r="CL480" s="123"/>
      <c r="CM480" s="130"/>
      <c r="CN480" s="123"/>
      <c r="CO480" s="123"/>
      <c r="CP480" s="123"/>
      <c r="CQ480" s="123"/>
      <c r="CR480" s="123"/>
      <c r="CS480" s="123"/>
      <c r="CT480" s="143">
        <f t="shared" si="628"/>
        <v>0</v>
      </c>
      <c r="CU480" s="127"/>
      <c r="CV480" s="127"/>
      <c r="CW480" s="126">
        <f t="shared" si="612"/>
        <v>129</v>
      </c>
      <c r="CX480" s="126">
        <f t="shared" si="612"/>
        <v>11681763.429340199</v>
      </c>
    </row>
    <row r="481" spans="1:102" s="6" customFormat="1" ht="60" x14ac:dyDescent="0.25">
      <c r="A481" s="91"/>
      <c r="B481" s="116">
        <v>403</v>
      </c>
      <c r="C481" s="201" t="s">
        <v>1080</v>
      </c>
      <c r="D481" s="148" t="s">
        <v>1081</v>
      </c>
      <c r="E481" s="95">
        <v>28004</v>
      </c>
      <c r="F481" s="96">
        <v>29405</v>
      </c>
      <c r="G481" s="149">
        <v>3.21</v>
      </c>
      <c r="H481" s="107">
        <v>1</v>
      </c>
      <c r="I481" s="108"/>
      <c r="J481" s="108"/>
      <c r="K481" s="108"/>
      <c r="L481" s="163">
        <v>7.3200000000000001E-2</v>
      </c>
      <c r="M481" s="120">
        <v>1.4</v>
      </c>
      <c r="N481" s="120">
        <v>1.68</v>
      </c>
      <c r="O481" s="120">
        <v>2.23</v>
      </c>
      <c r="P481" s="121">
        <v>2.57</v>
      </c>
      <c r="Q481" s="286">
        <v>0</v>
      </c>
      <c r="R481" s="143">
        <f t="shared" si="613"/>
        <v>0</v>
      </c>
      <c r="S481" s="157"/>
      <c r="T481" s="144"/>
      <c r="U481" s="143"/>
      <c r="V481" s="143">
        <f t="shared" si="614"/>
        <v>0</v>
      </c>
      <c r="W481" s="123"/>
      <c r="X481" s="143">
        <f t="shared" si="615"/>
        <v>0</v>
      </c>
      <c r="Y481" s="123"/>
      <c r="Z481" s="143">
        <f t="shared" si="616"/>
        <v>0</v>
      </c>
      <c r="AA481" s="123">
        <v>14</v>
      </c>
      <c r="AB481" s="143">
        <f>(AA481*$F481*$G481*((1-$L481)+$L481*$M481*$H481))</f>
        <v>1360153.0692959998</v>
      </c>
      <c r="AC481" s="123"/>
      <c r="AD481" s="123"/>
      <c r="AE481" s="123"/>
      <c r="AF481" s="143">
        <f t="shared" si="618"/>
        <v>0</v>
      </c>
      <c r="AG481" s="123">
        <v>0</v>
      </c>
      <c r="AH481" s="143">
        <f t="shared" si="619"/>
        <v>0</v>
      </c>
      <c r="AI481" s="123"/>
      <c r="AJ481" s="143">
        <f t="shared" si="620"/>
        <v>0</v>
      </c>
      <c r="AK481" s="123"/>
      <c r="AL481" s="143">
        <f t="shared" si="626"/>
        <v>0</v>
      </c>
      <c r="AM481" s="132"/>
      <c r="AN481" s="143">
        <f t="shared" si="621"/>
        <v>0</v>
      </c>
      <c r="AO481" s="130"/>
      <c r="AP481" s="143">
        <f t="shared" si="622"/>
        <v>0</v>
      </c>
      <c r="AQ481" s="143">
        <v>0</v>
      </c>
      <c r="AR481" s="143">
        <v>0</v>
      </c>
      <c r="AS481" s="123"/>
      <c r="AT481" s="123"/>
      <c r="AU481" s="123"/>
      <c r="AV481" s="123"/>
      <c r="AW481" s="123"/>
      <c r="AX481" s="123"/>
      <c r="AY481" s="123">
        <v>0</v>
      </c>
      <c r="AZ481" s="143"/>
      <c r="BA481" s="123"/>
      <c r="BB481" s="123"/>
      <c r="BC481" s="123"/>
      <c r="BD481" s="123"/>
      <c r="BE481" s="123"/>
      <c r="BF481" s="123">
        <f t="shared" si="623"/>
        <v>0</v>
      </c>
      <c r="BG481" s="123"/>
      <c r="BH481" s="123"/>
      <c r="BI481" s="123"/>
      <c r="BJ481" s="123"/>
      <c r="BK481" s="123"/>
      <c r="BL481" s="127"/>
      <c r="BM481" s="123"/>
      <c r="BN481" s="143">
        <f t="shared" si="624"/>
        <v>0</v>
      </c>
      <c r="BO481" s="123"/>
      <c r="BP481" s="143">
        <f t="shared" si="625"/>
        <v>0</v>
      </c>
      <c r="BQ481" s="123"/>
      <c r="BR481" s="123"/>
      <c r="BS481" s="123"/>
      <c r="BT481" s="123"/>
      <c r="BU481" s="123"/>
      <c r="BV481" s="123"/>
      <c r="BW481" s="123"/>
      <c r="BX481" s="123"/>
      <c r="BY481" s="123"/>
      <c r="BZ481" s="123"/>
      <c r="CA481" s="123"/>
      <c r="CB481" s="143"/>
      <c r="CC481" s="123"/>
      <c r="CD481" s="123"/>
      <c r="CE481" s="123"/>
      <c r="CF481" s="123"/>
      <c r="CG481" s="132">
        <v>8</v>
      </c>
      <c r="CH481" s="143">
        <f t="shared" si="627"/>
        <v>786412.52219711989</v>
      </c>
      <c r="CI481" s="123"/>
      <c r="CJ481" s="127"/>
      <c r="CK481" s="123"/>
      <c r="CL481" s="123"/>
      <c r="CM481" s="130"/>
      <c r="CN481" s="123"/>
      <c r="CO481" s="123"/>
      <c r="CP481" s="123"/>
      <c r="CQ481" s="123"/>
      <c r="CR481" s="123"/>
      <c r="CS481" s="123"/>
      <c r="CT481" s="143">
        <f t="shared" si="628"/>
        <v>0</v>
      </c>
      <c r="CU481" s="127"/>
      <c r="CV481" s="127"/>
      <c r="CW481" s="126">
        <f t="shared" si="612"/>
        <v>22</v>
      </c>
      <c r="CX481" s="126">
        <f t="shared" si="612"/>
        <v>2146565.5914931195</v>
      </c>
    </row>
    <row r="482" spans="1:102" s="6" customFormat="1" ht="60" x14ac:dyDescent="0.25">
      <c r="A482" s="91"/>
      <c r="B482" s="116">
        <v>404</v>
      </c>
      <c r="C482" s="201" t="s">
        <v>1082</v>
      </c>
      <c r="D482" s="148" t="s">
        <v>1083</v>
      </c>
      <c r="E482" s="95">
        <v>28004</v>
      </c>
      <c r="F482" s="96">
        <v>29405</v>
      </c>
      <c r="G482" s="149">
        <v>4.2</v>
      </c>
      <c r="H482" s="107">
        <v>1</v>
      </c>
      <c r="I482" s="108"/>
      <c r="J482" s="108"/>
      <c r="K482" s="108"/>
      <c r="L482" s="163">
        <v>5.6099999999999997E-2</v>
      </c>
      <c r="M482" s="120">
        <v>1.4</v>
      </c>
      <c r="N482" s="120">
        <v>1.68</v>
      </c>
      <c r="O482" s="120">
        <v>2.23</v>
      </c>
      <c r="P482" s="121">
        <v>2.57</v>
      </c>
      <c r="Q482" s="286">
        <v>50</v>
      </c>
      <c r="R482" s="143">
        <f t="shared" si="613"/>
        <v>6263482.7766000014</v>
      </c>
      <c r="S482" s="124"/>
      <c r="T482" s="144">
        <f>(S482/12*2*$E482*$G482*((1-$L482)+$L482*$M482*$H482))+(S482/12*10*$F482*$G482*((1-$L482)+$L482*$M482*$H482))</f>
        <v>0</v>
      </c>
      <c r="U482" s="143">
        <v>2</v>
      </c>
      <c r="V482" s="143">
        <f t="shared" si="614"/>
        <v>250539.31106400001</v>
      </c>
      <c r="W482" s="123"/>
      <c r="X482" s="143">
        <f t="shared" si="615"/>
        <v>0</v>
      </c>
      <c r="Y482" s="123"/>
      <c r="Z482" s="143">
        <f t="shared" si="616"/>
        <v>0</v>
      </c>
      <c r="AA482" s="123">
        <v>46</v>
      </c>
      <c r="AB482" s="143">
        <f t="shared" si="617"/>
        <v>5762404.1544720009</v>
      </c>
      <c r="AC482" s="123"/>
      <c r="AD482" s="123"/>
      <c r="AE482" s="123"/>
      <c r="AF482" s="143">
        <f t="shared" si="618"/>
        <v>0</v>
      </c>
      <c r="AG482" s="123">
        <v>0</v>
      </c>
      <c r="AH482" s="143">
        <f t="shared" si="619"/>
        <v>0</v>
      </c>
      <c r="AI482" s="123"/>
      <c r="AJ482" s="143">
        <f t="shared" si="620"/>
        <v>0</v>
      </c>
      <c r="AK482" s="123"/>
      <c r="AL482" s="143">
        <f t="shared" si="626"/>
        <v>0</v>
      </c>
      <c r="AM482" s="132"/>
      <c r="AN482" s="143">
        <f t="shared" si="621"/>
        <v>0</v>
      </c>
      <c r="AO482" s="130">
        <v>2</v>
      </c>
      <c r="AP482" s="143">
        <f t="shared" si="622"/>
        <v>254388.40880880001</v>
      </c>
      <c r="AQ482" s="143">
        <v>0</v>
      </c>
      <c r="AR482" s="143">
        <v>0</v>
      </c>
      <c r="AS482" s="123"/>
      <c r="AT482" s="123"/>
      <c r="AU482" s="123"/>
      <c r="AV482" s="123"/>
      <c r="AW482" s="123"/>
      <c r="AX482" s="123"/>
      <c r="AY482" s="123">
        <v>0</v>
      </c>
      <c r="AZ482" s="143"/>
      <c r="BA482" s="123"/>
      <c r="BB482" s="123"/>
      <c r="BC482" s="123"/>
      <c r="BD482" s="123"/>
      <c r="BE482" s="123"/>
      <c r="BF482" s="123">
        <f t="shared" si="623"/>
        <v>0</v>
      </c>
      <c r="BG482" s="123"/>
      <c r="BH482" s="123"/>
      <c r="BI482" s="123"/>
      <c r="BJ482" s="123"/>
      <c r="BK482" s="123"/>
      <c r="BL482" s="127"/>
      <c r="BM482" s="123"/>
      <c r="BN482" s="143">
        <f t="shared" si="624"/>
        <v>0</v>
      </c>
      <c r="BO482" s="123"/>
      <c r="BP482" s="143">
        <f t="shared" si="625"/>
        <v>0</v>
      </c>
      <c r="BQ482" s="123"/>
      <c r="BR482" s="123"/>
      <c r="BS482" s="123"/>
      <c r="BT482" s="123"/>
      <c r="BU482" s="123"/>
      <c r="BV482" s="123"/>
      <c r="BW482" s="123"/>
      <c r="BX482" s="123"/>
      <c r="BY482" s="123"/>
      <c r="BZ482" s="123"/>
      <c r="CA482" s="123"/>
      <c r="CB482" s="143"/>
      <c r="CC482" s="123"/>
      <c r="CD482" s="123"/>
      <c r="CE482" s="123"/>
      <c r="CF482" s="123"/>
      <c r="CG482" s="132">
        <v>6</v>
      </c>
      <c r="CH482" s="143">
        <f t="shared" si="627"/>
        <v>763165.22642640001</v>
      </c>
      <c r="CI482" s="123"/>
      <c r="CJ482" s="127"/>
      <c r="CK482" s="123"/>
      <c r="CL482" s="123"/>
      <c r="CM482" s="130"/>
      <c r="CN482" s="123"/>
      <c r="CO482" s="123"/>
      <c r="CP482" s="123"/>
      <c r="CQ482" s="123"/>
      <c r="CR482" s="123"/>
      <c r="CS482" s="123"/>
      <c r="CT482" s="143">
        <f t="shared" si="628"/>
        <v>0</v>
      </c>
      <c r="CU482" s="127"/>
      <c r="CV482" s="127"/>
      <c r="CW482" s="126">
        <f t="shared" si="612"/>
        <v>106</v>
      </c>
      <c r="CX482" s="126">
        <f t="shared" si="612"/>
        <v>13293979.877371201</v>
      </c>
    </row>
    <row r="483" spans="1:102" s="6" customFormat="1" ht="62.25" customHeight="1" x14ac:dyDescent="0.25">
      <c r="A483" s="91"/>
      <c r="B483" s="116">
        <v>405</v>
      </c>
      <c r="C483" s="201" t="s">
        <v>1084</v>
      </c>
      <c r="D483" s="148" t="s">
        <v>1085</v>
      </c>
      <c r="E483" s="95">
        <v>28004</v>
      </c>
      <c r="F483" s="96">
        <v>29405</v>
      </c>
      <c r="G483" s="149">
        <v>5.17</v>
      </c>
      <c r="H483" s="107">
        <v>1</v>
      </c>
      <c r="I483" s="108"/>
      <c r="J483" s="108"/>
      <c r="K483" s="108"/>
      <c r="L483" s="163">
        <v>4.5499999999999999E-2</v>
      </c>
      <c r="M483" s="120">
        <v>1.4</v>
      </c>
      <c r="N483" s="120">
        <v>1.68</v>
      </c>
      <c r="O483" s="120">
        <v>2.23</v>
      </c>
      <c r="P483" s="121">
        <v>2.57</v>
      </c>
      <c r="Q483" s="286">
        <v>10</v>
      </c>
      <c r="R483" s="143">
        <f t="shared" si="613"/>
        <v>1535615.1812100001</v>
      </c>
      <c r="S483" s="157"/>
      <c r="T483" s="144">
        <f t="shared" ref="T483:T489" si="629">(S483/12*2*$E483*$G483*((1-$L483)+$L483*$M483*$H483))+(S483/12*10*$F483*$G483*((1-$L483)+$L483*$M483*$H483))</f>
        <v>0</v>
      </c>
      <c r="U483" s="143">
        <v>1</v>
      </c>
      <c r="V483" s="143">
        <f t="shared" si="614"/>
        <v>153561.518121</v>
      </c>
      <c r="W483" s="123"/>
      <c r="X483" s="143">
        <f t="shared" si="615"/>
        <v>0</v>
      </c>
      <c r="Y483" s="123"/>
      <c r="Z483" s="143">
        <f t="shared" si="616"/>
        <v>0</v>
      </c>
      <c r="AA483" s="123">
        <v>62</v>
      </c>
      <c r="AB483" s="143">
        <f t="shared" si="617"/>
        <v>9520814.1235020012</v>
      </c>
      <c r="AC483" s="123"/>
      <c r="AD483" s="123"/>
      <c r="AE483" s="123"/>
      <c r="AF483" s="143">
        <f t="shared" si="618"/>
        <v>0</v>
      </c>
      <c r="AG483" s="123">
        <v>0</v>
      </c>
      <c r="AH483" s="143">
        <f t="shared" si="619"/>
        <v>0</v>
      </c>
      <c r="AI483" s="123"/>
      <c r="AJ483" s="143">
        <f t="shared" si="620"/>
        <v>0</v>
      </c>
      <c r="AK483" s="123"/>
      <c r="AL483" s="143">
        <f t="shared" si="626"/>
        <v>0</v>
      </c>
      <c r="AM483" s="132"/>
      <c r="AN483" s="143">
        <f t="shared" si="621"/>
        <v>0</v>
      </c>
      <c r="AO483" s="130"/>
      <c r="AP483" s="143">
        <f t="shared" si="622"/>
        <v>0</v>
      </c>
      <c r="AQ483" s="143">
        <v>0</v>
      </c>
      <c r="AR483" s="143">
        <v>0</v>
      </c>
      <c r="AS483" s="123"/>
      <c r="AT483" s="123"/>
      <c r="AU483" s="123"/>
      <c r="AV483" s="123"/>
      <c r="AW483" s="123"/>
      <c r="AX483" s="123"/>
      <c r="AY483" s="123">
        <v>0</v>
      </c>
      <c r="AZ483" s="143"/>
      <c r="BA483" s="123"/>
      <c r="BB483" s="123"/>
      <c r="BC483" s="123"/>
      <c r="BD483" s="123"/>
      <c r="BE483" s="123"/>
      <c r="BF483" s="123">
        <f t="shared" si="623"/>
        <v>0</v>
      </c>
      <c r="BG483" s="123"/>
      <c r="BH483" s="123"/>
      <c r="BI483" s="123"/>
      <c r="BJ483" s="123"/>
      <c r="BK483" s="123"/>
      <c r="BL483" s="127"/>
      <c r="BM483" s="123"/>
      <c r="BN483" s="143">
        <f t="shared" si="624"/>
        <v>0</v>
      </c>
      <c r="BO483" s="123"/>
      <c r="BP483" s="143">
        <f t="shared" si="625"/>
        <v>0</v>
      </c>
      <c r="BQ483" s="123"/>
      <c r="BR483" s="123"/>
      <c r="BS483" s="123"/>
      <c r="BT483" s="123"/>
      <c r="BU483" s="123"/>
      <c r="BV483" s="123"/>
      <c r="BW483" s="123"/>
      <c r="BX483" s="123"/>
      <c r="BY483" s="123"/>
      <c r="BZ483" s="123"/>
      <c r="CA483" s="123"/>
      <c r="CB483" s="143"/>
      <c r="CC483" s="123"/>
      <c r="CD483" s="123"/>
      <c r="CE483" s="123"/>
      <c r="CF483" s="123"/>
      <c r="CG483" s="132"/>
      <c r="CH483" s="143">
        <f t="shared" si="627"/>
        <v>0</v>
      </c>
      <c r="CI483" s="123"/>
      <c r="CJ483" s="127"/>
      <c r="CK483" s="123"/>
      <c r="CL483" s="123"/>
      <c r="CM483" s="130"/>
      <c r="CN483" s="123"/>
      <c r="CO483" s="123"/>
      <c r="CP483" s="123"/>
      <c r="CQ483" s="123"/>
      <c r="CR483" s="123"/>
      <c r="CS483" s="123"/>
      <c r="CT483" s="143">
        <f t="shared" si="628"/>
        <v>0</v>
      </c>
      <c r="CU483" s="127"/>
      <c r="CV483" s="127"/>
      <c r="CW483" s="126">
        <f t="shared" ref="CW483:CX489" si="630">SUM(Q483,S483,U483,W483,Y483,AA483,AC483,AE483,AG483,AM483,BQ483,AI483,AU483,CC483,AW483,AY483,AK483,BC483,AO483,AQ483,BE483,CE483,BG483,BI483,BK483,BS483,BM483,BO483,BU483,BW483,BY483,CA483,CG483,BA483,AS483,CI483,CK483,CM483,CO483,CQ483,CS483,CU483)</f>
        <v>73</v>
      </c>
      <c r="CX483" s="126">
        <f t="shared" si="630"/>
        <v>11209990.822833002</v>
      </c>
    </row>
    <row r="484" spans="1:102" s="6" customFormat="1" ht="66.75" customHeight="1" x14ac:dyDescent="0.25">
      <c r="A484" s="91"/>
      <c r="B484" s="116">
        <v>406</v>
      </c>
      <c r="C484" s="201" t="s">
        <v>1086</v>
      </c>
      <c r="D484" s="148" t="s">
        <v>1087</v>
      </c>
      <c r="E484" s="95">
        <v>28004</v>
      </c>
      <c r="F484" s="96">
        <v>29405</v>
      </c>
      <c r="G484" s="149">
        <v>7.31</v>
      </c>
      <c r="H484" s="107">
        <v>1</v>
      </c>
      <c r="I484" s="108"/>
      <c r="J484" s="108"/>
      <c r="K484" s="108"/>
      <c r="L484" s="163">
        <v>3.2099999999999997E-2</v>
      </c>
      <c r="M484" s="120">
        <v>1.4</v>
      </c>
      <c r="N484" s="120">
        <v>1.68</v>
      </c>
      <c r="O484" s="120">
        <v>2.23</v>
      </c>
      <c r="P484" s="121">
        <v>2.57</v>
      </c>
      <c r="Q484" s="286">
        <v>1</v>
      </c>
      <c r="R484" s="143">
        <f t="shared" si="613"/>
        <v>215981.71365859997</v>
      </c>
      <c r="S484" s="157"/>
      <c r="T484" s="144">
        <f t="shared" si="629"/>
        <v>0</v>
      </c>
      <c r="U484" s="143"/>
      <c r="V484" s="143">
        <f t="shared" si="614"/>
        <v>0</v>
      </c>
      <c r="W484" s="123"/>
      <c r="X484" s="143">
        <f t="shared" si="615"/>
        <v>0</v>
      </c>
      <c r="Y484" s="123"/>
      <c r="Z484" s="143">
        <f t="shared" si="616"/>
        <v>0</v>
      </c>
      <c r="AA484" s="123">
        <v>25</v>
      </c>
      <c r="AB484" s="143">
        <f t="shared" si="617"/>
        <v>5399542.841465001</v>
      </c>
      <c r="AC484" s="123"/>
      <c r="AD484" s="123"/>
      <c r="AE484" s="123"/>
      <c r="AF484" s="143">
        <f t="shared" si="618"/>
        <v>0</v>
      </c>
      <c r="AG484" s="123">
        <v>0</v>
      </c>
      <c r="AH484" s="143">
        <f t="shared" si="619"/>
        <v>0</v>
      </c>
      <c r="AI484" s="123"/>
      <c r="AJ484" s="143">
        <f t="shared" si="620"/>
        <v>0</v>
      </c>
      <c r="AK484" s="123"/>
      <c r="AL484" s="143">
        <f t="shared" si="626"/>
        <v>0</v>
      </c>
      <c r="AM484" s="132"/>
      <c r="AN484" s="143">
        <f t="shared" si="621"/>
        <v>0</v>
      </c>
      <c r="AO484" s="130"/>
      <c r="AP484" s="143">
        <f t="shared" si="622"/>
        <v>0</v>
      </c>
      <c r="AQ484" s="143">
        <v>0</v>
      </c>
      <c r="AR484" s="143">
        <v>0</v>
      </c>
      <c r="AS484" s="123"/>
      <c r="AT484" s="123"/>
      <c r="AU484" s="123"/>
      <c r="AV484" s="123"/>
      <c r="AW484" s="123"/>
      <c r="AX484" s="123"/>
      <c r="AY484" s="123">
        <v>0</v>
      </c>
      <c r="AZ484" s="143"/>
      <c r="BA484" s="123"/>
      <c r="BB484" s="123"/>
      <c r="BC484" s="123"/>
      <c r="BD484" s="123"/>
      <c r="BE484" s="123"/>
      <c r="BF484" s="123">
        <f t="shared" si="623"/>
        <v>0</v>
      </c>
      <c r="BG484" s="123"/>
      <c r="BH484" s="123"/>
      <c r="BI484" s="123"/>
      <c r="BJ484" s="123"/>
      <c r="BK484" s="123"/>
      <c r="BL484" s="127"/>
      <c r="BM484" s="123"/>
      <c r="BN484" s="143">
        <f t="shared" si="624"/>
        <v>0</v>
      </c>
      <c r="BO484" s="123"/>
      <c r="BP484" s="143">
        <f t="shared" si="625"/>
        <v>0</v>
      </c>
      <c r="BQ484" s="123"/>
      <c r="BR484" s="123"/>
      <c r="BS484" s="123"/>
      <c r="BT484" s="123"/>
      <c r="BU484" s="123"/>
      <c r="BV484" s="123"/>
      <c r="BW484" s="123"/>
      <c r="BX484" s="123"/>
      <c r="BY484" s="123"/>
      <c r="BZ484" s="123"/>
      <c r="CA484" s="123"/>
      <c r="CB484" s="143"/>
      <c r="CC484" s="123"/>
      <c r="CD484" s="123"/>
      <c r="CE484" s="123"/>
      <c r="CF484" s="123"/>
      <c r="CG484" s="132"/>
      <c r="CH484" s="143">
        <f t="shared" si="627"/>
        <v>0</v>
      </c>
      <c r="CI484" s="123"/>
      <c r="CJ484" s="127"/>
      <c r="CK484" s="123"/>
      <c r="CL484" s="123"/>
      <c r="CM484" s="130"/>
      <c r="CN484" s="123"/>
      <c r="CO484" s="123"/>
      <c r="CP484" s="123"/>
      <c r="CQ484" s="123"/>
      <c r="CR484" s="123"/>
      <c r="CS484" s="123"/>
      <c r="CT484" s="143">
        <f t="shared" si="628"/>
        <v>0</v>
      </c>
      <c r="CU484" s="127"/>
      <c r="CV484" s="127"/>
      <c r="CW484" s="126">
        <f t="shared" si="630"/>
        <v>26</v>
      </c>
      <c r="CX484" s="126">
        <f t="shared" si="630"/>
        <v>5615524.5551236011</v>
      </c>
    </row>
    <row r="485" spans="1:102" s="6" customFormat="1" ht="69.75" customHeight="1" x14ac:dyDescent="0.25">
      <c r="A485" s="91"/>
      <c r="B485" s="116">
        <v>407</v>
      </c>
      <c r="C485" s="201" t="s">
        <v>1088</v>
      </c>
      <c r="D485" s="148" t="s">
        <v>1089</v>
      </c>
      <c r="E485" s="95">
        <v>28004</v>
      </c>
      <c r="F485" s="96">
        <v>29405</v>
      </c>
      <c r="G485" s="149">
        <v>13.3</v>
      </c>
      <c r="H485" s="107">
        <v>1</v>
      </c>
      <c r="I485" s="108"/>
      <c r="J485" s="108"/>
      <c r="K485" s="108"/>
      <c r="L485" s="163">
        <v>1.7600000000000001E-2</v>
      </c>
      <c r="M485" s="120">
        <v>1.4</v>
      </c>
      <c r="N485" s="120">
        <v>1.68</v>
      </c>
      <c r="O485" s="120">
        <v>2.23</v>
      </c>
      <c r="P485" s="121">
        <v>2.57</v>
      </c>
      <c r="Q485" s="286">
        <v>5</v>
      </c>
      <c r="R485" s="143">
        <f t="shared" si="613"/>
        <v>1953561.6794400006</v>
      </c>
      <c r="S485" s="157"/>
      <c r="T485" s="144">
        <f t="shared" si="629"/>
        <v>0</v>
      </c>
      <c r="U485" s="143"/>
      <c r="V485" s="143">
        <f t="shared" si="614"/>
        <v>0</v>
      </c>
      <c r="W485" s="123"/>
      <c r="X485" s="143">
        <f t="shared" si="615"/>
        <v>0</v>
      </c>
      <c r="Y485" s="123"/>
      <c r="Z485" s="143">
        <f t="shared" si="616"/>
        <v>0</v>
      </c>
      <c r="AA485" s="123"/>
      <c r="AB485" s="143">
        <f t="shared" si="617"/>
        <v>0</v>
      </c>
      <c r="AC485" s="123"/>
      <c r="AD485" s="123"/>
      <c r="AE485" s="123">
        <v>6</v>
      </c>
      <c r="AF485" s="143">
        <f>(AE485/12*2*$E485*$G485*((1-$L485)+$L485*$M485*$H485))+(AE485/12*10*$F485*$G485*((1-$L485)+$L485*$M485*$H485))</f>
        <v>2344274.0153280003</v>
      </c>
      <c r="AG485" s="123">
        <v>0</v>
      </c>
      <c r="AH485" s="143">
        <f t="shared" si="619"/>
        <v>0</v>
      </c>
      <c r="AI485" s="123"/>
      <c r="AJ485" s="143">
        <f t="shared" si="620"/>
        <v>0</v>
      </c>
      <c r="AK485" s="123"/>
      <c r="AL485" s="143">
        <f t="shared" si="626"/>
        <v>0</v>
      </c>
      <c r="AM485" s="132"/>
      <c r="AN485" s="143">
        <f t="shared" si="621"/>
        <v>0</v>
      </c>
      <c r="AO485" s="130"/>
      <c r="AP485" s="143">
        <f t="shared" si="622"/>
        <v>0</v>
      </c>
      <c r="AQ485" s="143">
        <v>0</v>
      </c>
      <c r="AR485" s="143">
        <v>0</v>
      </c>
      <c r="AS485" s="123"/>
      <c r="AT485" s="123"/>
      <c r="AU485" s="123"/>
      <c r="AV485" s="123"/>
      <c r="AW485" s="123"/>
      <c r="AX485" s="123"/>
      <c r="AY485" s="123">
        <v>0</v>
      </c>
      <c r="AZ485" s="143"/>
      <c r="BA485" s="123"/>
      <c r="BB485" s="123"/>
      <c r="BC485" s="123"/>
      <c r="BD485" s="123"/>
      <c r="BE485" s="123"/>
      <c r="BF485" s="123">
        <f t="shared" si="623"/>
        <v>0</v>
      </c>
      <c r="BG485" s="123"/>
      <c r="BH485" s="123"/>
      <c r="BI485" s="123"/>
      <c r="BJ485" s="123"/>
      <c r="BK485" s="123"/>
      <c r="BL485" s="127"/>
      <c r="BM485" s="123"/>
      <c r="BN485" s="143">
        <f t="shared" si="624"/>
        <v>0</v>
      </c>
      <c r="BO485" s="123"/>
      <c r="BP485" s="143">
        <f t="shared" si="625"/>
        <v>0</v>
      </c>
      <c r="BQ485" s="123"/>
      <c r="BR485" s="123"/>
      <c r="BS485" s="123"/>
      <c r="BT485" s="123"/>
      <c r="BU485" s="123"/>
      <c r="BV485" s="123"/>
      <c r="BW485" s="123"/>
      <c r="BX485" s="123"/>
      <c r="BY485" s="123"/>
      <c r="BZ485" s="123"/>
      <c r="CA485" s="123"/>
      <c r="CB485" s="143"/>
      <c r="CC485" s="123"/>
      <c r="CD485" s="123"/>
      <c r="CE485" s="123"/>
      <c r="CF485" s="123"/>
      <c r="CG485" s="132"/>
      <c r="CH485" s="143">
        <f t="shared" si="627"/>
        <v>0</v>
      </c>
      <c r="CI485" s="123"/>
      <c r="CJ485" s="127"/>
      <c r="CK485" s="123"/>
      <c r="CL485" s="123"/>
      <c r="CM485" s="130"/>
      <c r="CN485" s="123"/>
      <c r="CO485" s="123"/>
      <c r="CP485" s="123"/>
      <c r="CQ485" s="123"/>
      <c r="CR485" s="123"/>
      <c r="CS485" s="123"/>
      <c r="CT485" s="143">
        <f t="shared" si="628"/>
        <v>0</v>
      </c>
      <c r="CU485" s="127"/>
      <c r="CV485" s="127"/>
      <c r="CW485" s="126">
        <f t="shared" si="630"/>
        <v>11</v>
      </c>
      <c r="CX485" s="126">
        <f t="shared" si="630"/>
        <v>4297835.6947680004</v>
      </c>
    </row>
    <row r="486" spans="1:102" s="6" customFormat="1" ht="62.25" customHeight="1" x14ac:dyDescent="0.25">
      <c r="A486" s="91"/>
      <c r="B486" s="116">
        <v>408</v>
      </c>
      <c r="C486" s="201" t="s">
        <v>1090</v>
      </c>
      <c r="D486" s="148" t="s">
        <v>1091</v>
      </c>
      <c r="E486" s="95">
        <v>28004</v>
      </c>
      <c r="F486" s="96">
        <v>29405</v>
      </c>
      <c r="G486" s="149">
        <v>20.51</v>
      </c>
      <c r="H486" s="107">
        <v>1</v>
      </c>
      <c r="I486" s="108"/>
      <c r="J486" s="108"/>
      <c r="K486" s="108"/>
      <c r="L486" s="163">
        <v>1.14E-2</v>
      </c>
      <c r="M486" s="120">
        <v>1.4</v>
      </c>
      <c r="N486" s="120">
        <v>1.68</v>
      </c>
      <c r="O486" s="120">
        <v>2.23</v>
      </c>
      <c r="P486" s="121">
        <v>2.57</v>
      </c>
      <c r="Q486" s="286">
        <v>0</v>
      </c>
      <c r="R486" s="143">
        <f t="shared" si="613"/>
        <v>0</v>
      </c>
      <c r="S486" s="157"/>
      <c r="T486" s="144">
        <f t="shared" si="629"/>
        <v>0</v>
      </c>
      <c r="U486" s="143">
        <v>1</v>
      </c>
      <c r="V486" s="143">
        <f t="shared" si="614"/>
        <v>601035.74704040005</v>
      </c>
      <c r="W486" s="123"/>
      <c r="X486" s="143">
        <f t="shared" si="615"/>
        <v>0</v>
      </c>
      <c r="Y486" s="123"/>
      <c r="Z486" s="143">
        <f t="shared" si="616"/>
        <v>0</v>
      </c>
      <c r="AA486" s="123"/>
      <c r="AB486" s="143">
        <f t="shared" si="617"/>
        <v>0</v>
      </c>
      <c r="AC486" s="123"/>
      <c r="AD486" s="123"/>
      <c r="AE486" s="123"/>
      <c r="AF486" s="143">
        <f t="shared" si="618"/>
        <v>0</v>
      </c>
      <c r="AG486" s="123">
        <v>0</v>
      </c>
      <c r="AH486" s="143">
        <f t="shared" si="619"/>
        <v>0</v>
      </c>
      <c r="AI486" s="123"/>
      <c r="AJ486" s="143">
        <f t="shared" si="620"/>
        <v>0</v>
      </c>
      <c r="AK486" s="123"/>
      <c r="AL486" s="143">
        <f t="shared" si="626"/>
        <v>0</v>
      </c>
      <c r="AM486" s="132"/>
      <c r="AN486" s="143">
        <f t="shared" si="621"/>
        <v>0</v>
      </c>
      <c r="AO486" s="130"/>
      <c r="AP486" s="143">
        <f t="shared" si="622"/>
        <v>0</v>
      </c>
      <c r="AQ486" s="143">
        <v>0</v>
      </c>
      <c r="AR486" s="143">
        <v>0</v>
      </c>
      <c r="AS486" s="123"/>
      <c r="AT486" s="123"/>
      <c r="AU486" s="123"/>
      <c r="AV486" s="123"/>
      <c r="AW486" s="123"/>
      <c r="AX486" s="123"/>
      <c r="AY486" s="123">
        <v>0</v>
      </c>
      <c r="AZ486" s="143"/>
      <c r="BA486" s="123"/>
      <c r="BB486" s="123"/>
      <c r="BC486" s="123"/>
      <c r="BD486" s="123"/>
      <c r="BE486" s="123"/>
      <c r="BF486" s="123">
        <f t="shared" si="623"/>
        <v>0</v>
      </c>
      <c r="BG486" s="123"/>
      <c r="BH486" s="123"/>
      <c r="BI486" s="123"/>
      <c r="BJ486" s="123"/>
      <c r="BK486" s="123"/>
      <c r="BL486" s="127"/>
      <c r="BM486" s="123"/>
      <c r="BN486" s="143">
        <f t="shared" si="624"/>
        <v>0</v>
      </c>
      <c r="BO486" s="123"/>
      <c r="BP486" s="143">
        <f t="shared" si="625"/>
        <v>0</v>
      </c>
      <c r="BQ486" s="123"/>
      <c r="BR486" s="123"/>
      <c r="BS486" s="123"/>
      <c r="BT486" s="123"/>
      <c r="BU486" s="123"/>
      <c r="BV486" s="123"/>
      <c r="BW486" s="123"/>
      <c r="BX486" s="123"/>
      <c r="BY486" s="123"/>
      <c r="BZ486" s="123"/>
      <c r="CA486" s="123"/>
      <c r="CB486" s="143"/>
      <c r="CC486" s="123"/>
      <c r="CD486" s="123"/>
      <c r="CE486" s="123"/>
      <c r="CF486" s="123"/>
      <c r="CG486" s="132"/>
      <c r="CH486" s="143">
        <f t="shared" si="627"/>
        <v>0</v>
      </c>
      <c r="CI486" s="123"/>
      <c r="CJ486" s="127"/>
      <c r="CK486" s="123"/>
      <c r="CL486" s="123"/>
      <c r="CM486" s="130"/>
      <c r="CN486" s="123"/>
      <c r="CO486" s="123"/>
      <c r="CP486" s="123"/>
      <c r="CQ486" s="123"/>
      <c r="CR486" s="123"/>
      <c r="CS486" s="123"/>
      <c r="CT486" s="143">
        <f t="shared" si="628"/>
        <v>0</v>
      </c>
      <c r="CU486" s="127"/>
      <c r="CV486" s="127"/>
      <c r="CW486" s="126">
        <f t="shared" si="630"/>
        <v>1</v>
      </c>
      <c r="CX486" s="126">
        <f t="shared" si="630"/>
        <v>601035.74704040005</v>
      </c>
    </row>
    <row r="487" spans="1:102" s="6" customFormat="1" ht="64.5" customHeight="1" x14ac:dyDescent="0.25">
      <c r="A487" s="91"/>
      <c r="B487" s="116">
        <v>409</v>
      </c>
      <c r="C487" s="201" t="s">
        <v>1092</v>
      </c>
      <c r="D487" s="148" t="s">
        <v>1093</v>
      </c>
      <c r="E487" s="95">
        <v>28004</v>
      </c>
      <c r="F487" s="96">
        <v>29405</v>
      </c>
      <c r="G487" s="149">
        <v>25.9</v>
      </c>
      <c r="H487" s="107">
        <v>1</v>
      </c>
      <c r="I487" s="108"/>
      <c r="J487" s="108"/>
      <c r="K487" s="108"/>
      <c r="L487" s="163">
        <v>8.9999999999999993E-3</v>
      </c>
      <c r="M487" s="120">
        <v>1.4</v>
      </c>
      <c r="N487" s="120">
        <v>1.68</v>
      </c>
      <c r="O487" s="120">
        <v>2.23</v>
      </c>
      <c r="P487" s="121">
        <v>2.57</v>
      </c>
      <c r="Q487" s="286">
        <v>0</v>
      </c>
      <c r="R487" s="143">
        <f t="shared" si="613"/>
        <v>0</v>
      </c>
      <c r="S487" s="157"/>
      <c r="T487" s="144">
        <f t="shared" si="629"/>
        <v>0</v>
      </c>
      <c r="U487" s="143">
        <v>2</v>
      </c>
      <c r="V487" s="143">
        <f t="shared" si="614"/>
        <v>1516523.6013199997</v>
      </c>
      <c r="W487" s="123"/>
      <c r="X487" s="143">
        <f t="shared" si="615"/>
        <v>0</v>
      </c>
      <c r="Y487" s="123"/>
      <c r="Z487" s="143">
        <f t="shared" si="616"/>
        <v>0</v>
      </c>
      <c r="AA487" s="123"/>
      <c r="AB487" s="143">
        <f t="shared" si="617"/>
        <v>0</v>
      </c>
      <c r="AC487" s="123"/>
      <c r="AD487" s="123"/>
      <c r="AE487" s="123"/>
      <c r="AF487" s="143">
        <f t="shared" si="618"/>
        <v>0</v>
      </c>
      <c r="AG487" s="123">
        <v>0</v>
      </c>
      <c r="AH487" s="143">
        <f t="shared" si="619"/>
        <v>0</v>
      </c>
      <c r="AI487" s="123"/>
      <c r="AJ487" s="143">
        <f t="shared" si="620"/>
        <v>0</v>
      </c>
      <c r="AK487" s="123"/>
      <c r="AL487" s="143">
        <f t="shared" si="626"/>
        <v>0</v>
      </c>
      <c r="AM487" s="132"/>
      <c r="AN487" s="143">
        <f t="shared" si="621"/>
        <v>0</v>
      </c>
      <c r="AO487" s="130"/>
      <c r="AP487" s="143">
        <f t="shared" si="622"/>
        <v>0</v>
      </c>
      <c r="AQ487" s="143">
        <v>0</v>
      </c>
      <c r="AR487" s="143">
        <v>0</v>
      </c>
      <c r="AS487" s="123"/>
      <c r="AT487" s="123"/>
      <c r="AU487" s="123"/>
      <c r="AV487" s="123"/>
      <c r="AW487" s="123"/>
      <c r="AX487" s="123"/>
      <c r="AY487" s="123">
        <v>0</v>
      </c>
      <c r="AZ487" s="143"/>
      <c r="BA487" s="123"/>
      <c r="BB487" s="123"/>
      <c r="BC487" s="123"/>
      <c r="BD487" s="123"/>
      <c r="BE487" s="123"/>
      <c r="BF487" s="123">
        <f t="shared" si="623"/>
        <v>0</v>
      </c>
      <c r="BG487" s="123"/>
      <c r="BH487" s="123"/>
      <c r="BI487" s="123"/>
      <c r="BJ487" s="123"/>
      <c r="BK487" s="123"/>
      <c r="BL487" s="127"/>
      <c r="BM487" s="123"/>
      <c r="BN487" s="143">
        <f t="shared" si="624"/>
        <v>0</v>
      </c>
      <c r="BO487" s="123"/>
      <c r="BP487" s="143">
        <f t="shared" si="625"/>
        <v>0</v>
      </c>
      <c r="BQ487" s="123"/>
      <c r="BR487" s="123"/>
      <c r="BS487" s="123"/>
      <c r="BT487" s="123"/>
      <c r="BU487" s="123"/>
      <c r="BV487" s="123"/>
      <c r="BW487" s="123"/>
      <c r="BX487" s="123"/>
      <c r="BY487" s="123"/>
      <c r="BZ487" s="123"/>
      <c r="CA487" s="123"/>
      <c r="CB487" s="143"/>
      <c r="CC487" s="123"/>
      <c r="CD487" s="123"/>
      <c r="CE487" s="123"/>
      <c r="CF487" s="123"/>
      <c r="CG487" s="132"/>
      <c r="CH487" s="143">
        <f t="shared" si="627"/>
        <v>0</v>
      </c>
      <c r="CI487" s="123"/>
      <c r="CJ487" s="127"/>
      <c r="CK487" s="123"/>
      <c r="CL487" s="123"/>
      <c r="CM487" s="130"/>
      <c r="CN487" s="123"/>
      <c r="CO487" s="123"/>
      <c r="CP487" s="123"/>
      <c r="CQ487" s="123"/>
      <c r="CR487" s="123"/>
      <c r="CS487" s="123"/>
      <c r="CT487" s="143">
        <f t="shared" si="628"/>
        <v>0</v>
      </c>
      <c r="CU487" s="127"/>
      <c r="CV487" s="127"/>
      <c r="CW487" s="126">
        <f t="shared" si="630"/>
        <v>2</v>
      </c>
      <c r="CX487" s="126">
        <f t="shared" si="630"/>
        <v>1516523.6013199997</v>
      </c>
    </row>
    <row r="488" spans="1:102" s="6" customFormat="1" ht="66.75" customHeight="1" x14ac:dyDescent="0.25">
      <c r="A488" s="91"/>
      <c r="B488" s="116">
        <v>410</v>
      </c>
      <c r="C488" s="201" t="s">
        <v>1094</v>
      </c>
      <c r="D488" s="148" t="s">
        <v>1095</v>
      </c>
      <c r="E488" s="95">
        <v>28004</v>
      </c>
      <c r="F488" s="96">
        <v>29405</v>
      </c>
      <c r="G488" s="149">
        <v>41.47</v>
      </c>
      <c r="H488" s="107">
        <v>1</v>
      </c>
      <c r="I488" s="108"/>
      <c r="J488" s="108"/>
      <c r="K488" s="108"/>
      <c r="L488" s="163">
        <v>5.5999999999999999E-3</v>
      </c>
      <c r="M488" s="120">
        <v>1.4</v>
      </c>
      <c r="N488" s="120">
        <v>1.68</v>
      </c>
      <c r="O488" s="120">
        <v>2.23</v>
      </c>
      <c r="P488" s="121">
        <v>2.57</v>
      </c>
      <c r="Q488" s="286">
        <v>0</v>
      </c>
      <c r="R488" s="143">
        <f t="shared" si="613"/>
        <v>0</v>
      </c>
      <c r="S488" s="157"/>
      <c r="T488" s="144">
        <f t="shared" si="629"/>
        <v>0</v>
      </c>
      <c r="U488" s="143"/>
      <c r="V488" s="143">
        <f t="shared" si="614"/>
        <v>0</v>
      </c>
      <c r="W488" s="123"/>
      <c r="X488" s="143">
        <f t="shared" si="615"/>
        <v>0</v>
      </c>
      <c r="Y488" s="123"/>
      <c r="Z488" s="143">
        <f t="shared" si="616"/>
        <v>0</v>
      </c>
      <c r="AA488" s="123"/>
      <c r="AB488" s="143">
        <f t="shared" si="617"/>
        <v>0</v>
      </c>
      <c r="AC488" s="123"/>
      <c r="AD488" s="123"/>
      <c r="AE488" s="123"/>
      <c r="AF488" s="143">
        <f t="shared" si="618"/>
        <v>0</v>
      </c>
      <c r="AG488" s="123">
        <v>0</v>
      </c>
      <c r="AH488" s="143">
        <f t="shared" si="619"/>
        <v>0</v>
      </c>
      <c r="AI488" s="123"/>
      <c r="AJ488" s="143">
        <f t="shared" si="620"/>
        <v>0</v>
      </c>
      <c r="AK488" s="123"/>
      <c r="AL488" s="143">
        <f t="shared" si="626"/>
        <v>0</v>
      </c>
      <c r="AM488" s="132"/>
      <c r="AN488" s="143">
        <f t="shared" si="621"/>
        <v>0</v>
      </c>
      <c r="AO488" s="130"/>
      <c r="AP488" s="143">
        <f t="shared" si="622"/>
        <v>0</v>
      </c>
      <c r="AQ488" s="143">
        <v>0</v>
      </c>
      <c r="AR488" s="143">
        <v>0</v>
      </c>
      <c r="AS488" s="123"/>
      <c r="AT488" s="123"/>
      <c r="AU488" s="123"/>
      <c r="AV488" s="123"/>
      <c r="AW488" s="123"/>
      <c r="AX488" s="123"/>
      <c r="AY488" s="123">
        <v>0</v>
      </c>
      <c r="AZ488" s="143"/>
      <c r="BA488" s="123"/>
      <c r="BB488" s="123"/>
      <c r="BC488" s="123"/>
      <c r="BD488" s="123"/>
      <c r="BE488" s="123"/>
      <c r="BF488" s="123">
        <f t="shared" si="623"/>
        <v>0</v>
      </c>
      <c r="BG488" s="123"/>
      <c r="BH488" s="123"/>
      <c r="BI488" s="123"/>
      <c r="BJ488" s="123"/>
      <c r="BK488" s="123"/>
      <c r="BL488" s="127"/>
      <c r="BM488" s="123"/>
      <c r="BN488" s="143">
        <f t="shared" si="624"/>
        <v>0</v>
      </c>
      <c r="BO488" s="123"/>
      <c r="BP488" s="143">
        <f t="shared" si="625"/>
        <v>0</v>
      </c>
      <c r="BQ488" s="123"/>
      <c r="BR488" s="123"/>
      <c r="BS488" s="123"/>
      <c r="BT488" s="123"/>
      <c r="BU488" s="123"/>
      <c r="BV488" s="123"/>
      <c r="BW488" s="123"/>
      <c r="BX488" s="123"/>
      <c r="BY488" s="123"/>
      <c r="BZ488" s="123"/>
      <c r="CA488" s="123"/>
      <c r="CB488" s="143"/>
      <c r="CC488" s="123"/>
      <c r="CD488" s="123"/>
      <c r="CE488" s="123"/>
      <c r="CF488" s="123"/>
      <c r="CG488" s="132"/>
      <c r="CH488" s="143">
        <f t="shared" si="627"/>
        <v>0</v>
      </c>
      <c r="CI488" s="123"/>
      <c r="CJ488" s="127"/>
      <c r="CK488" s="123"/>
      <c r="CL488" s="123"/>
      <c r="CM488" s="130"/>
      <c r="CN488" s="123"/>
      <c r="CO488" s="123"/>
      <c r="CP488" s="123"/>
      <c r="CQ488" s="123"/>
      <c r="CR488" s="123"/>
      <c r="CS488" s="123"/>
      <c r="CT488" s="143">
        <f t="shared" si="628"/>
        <v>0</v>
      </c>
      <c r="CU488" s="127"/>
      <c r="CV488" s="127"/>
      <c r="CW488" s="126">
        <f t="shared" si="630"/>
        <v>0</v>
      </c>
      <c r="CX488" s="126">
        <f t="shared" si="630"/>
        <v>0</v>
      </c>
    </row>
    <row r="489" spans="1:102" s="6" customFormat="1" ht="60" x14ac:dyDescent="0.25">
      <c r="A489" s="91"/>
      <c r="B489" s="116">
        <v>411</v>
      </c>
      <c r="C489" s="201" t="s">
        <v>1096</v>
      </c>
      <c r="D489" s="148" t="s">
        <v>1097</v>
      </c>
      <c r="E489" s="95">
        <v>28004</v>
      </c>
      <c r="F489" s="96">
        <v>29405</v>
      </c>
      <c r="G489" s="149">
        <v>83.11</v>
      </c>
      <c r="H489" s="107">
        <v>1</v>
      </c>
      <c r="I489" s="108"/>
      <c r="J489" s="108"/>
      <c r="K489" s="108"/>
      <c r="L489" s="163">
        <v>2.8E-3</v>
      </c>
      <c r="M489" s="120">
        <v>1.4</v>
      </c>
      <c r="N489" s="120">
        <v>1.68</v>
      </c>
      <c r="O489" s="120">
        <v>2.23</v>
      </c>
      <c r="P489" s="121">
        <v>2.57</v>
      </c>
      <c r="Q489" s="286">
        <v>0</v>
      </c>
      <c r="R489" s="143">
        <f t="shared" si="613"/>
        <v>0</v>
      </c>
      <c r="S489" s="157"/>
      <c r="T489" s="144">
        <f t="shared" si="629"/>
        <v>0</v>
      </c>
      <c r="U489" s="143"/>
      <c r="V489" s="143">
        <f t="shared" si="614"/>
        <v>0</v>
      </c>
      <c r="W489" s="123"/>
      <c r="X489" s="143">
        <f t="shared" si="615"/>
        <v>0</v>
      </c>
      <c r="Y489" s="123"/>
      <c r="Z489" s="143">
        <f t="shared" si="616"/>
        <v>0</v>
      </c>
      <c r="AA489" s="123"/>
      <c r="AB489" s="143">
        <f t="shared" si="617"/>
        <v>0</v>
      </c>
      <c r="AC489" s="123"/>
      <c r="AD489" s="123"/>
      <c r="AE489" s="123"/>
      <c r="AF489" s="143">
        <f t="shared" si="618"/>
        <v>0</v>
      </c>
      <c r="AG489" s="123">
        <v>0</v>
      </c>
      <c r="AH489" s="143">
        <f t="shared" si="619"/>
        <v>0</v>
      </c>
      <c r="AI489" s="123"/>
      <c r="AJ489" s="143">
        <f t="shared" si="620"/>
        <v>0</v>
      </c>
      <c r="AK489" s="123"/>
      <c r="AL489" s="143">
        <f t="shared" si="626"/>
        <v>0</v>
      </c>
      <c r="AM489" s="132"/>
      <c r="AN489" s="143">
        <f t="shared" si="621"/>
        <v>0</v>
      </c>
      <c r="AO489" s="130"/>
      <c r="AP489" s="143">
        <f t="shared" si="622"/>
        <v>0</v>
      </c>
      <c r="AQ489" s="143">
        <v>0</v>
      </c>
      <c r="AR489" s="143">
        <v>0</v>
      </c>
      <c r="AS489" s="123"/>
      <c r="AT489" s="123"/>
      <c r="AU489" s="123"/>
      <c r="AV489" s="123"/>
      <c r="AW489" s="123"/>
      <c r="AX489" s="123"/>
      <c r="AY489" s="123">
        <v>0</v>
      </c>
      <c r="AZ489" s="143"/>
      <c r="BA489" s="123"/>
      <c r="BB489" s="123"/>
      <c r="BC489" s="123"/>
      <c r="BD489" s="123"/>
      <c r="BE489" s="123"/>
      <c r="BF489" s="123">
        <f t="shared" si="623"/>
        <v>0</v>
      </c>
      <c r="BG489" s="123"/>
      <c r="BH489" s="123"/>
      <c r="BI489" s="123"/>
      <c r="BJ489" s="123"/>
      <c r="BK489" s="123"/>
      <c r="BL489" s="127"/>
      <c r="BM489" s="123"/>
      <c r="BN489" s="143">
        <f t="shared" si="624"/>
        <v>0</v>
      </c>
      <c r="BO489" s="123"/>
      <c r="BP489" s="143">
        <f t="shared" si="625"/>
        <v>0</v>
      </c>
      <c r="BQ489" s="123"/>
      <c r="BR489" s="123"/>
      <c r="BS489" s="123"/>
      <c r="BT489" s="123"/>
      <c r="BU489" s="123"/>
      <c r="BV489" s="123"/>
      <c r="BW489" s="123"/>
      <c r="BX489" s="123"/>
      <c r="BY489" s="123"/>
      <c r="BZ489" s="123"/>
      <c r="CA489" s="123"/>
      <c r="CB489" s="143"/>
      <c r="CC489" s="123"/>
      <c r="CD489" s="123"/>
      <c r="CE489" s="123"/>
      <c r="CF489" s="123"/>
      <c r="CG489" s="132"/>
      <c r="CH489" s="143">
        <f t="shared" si="627"/>
        <v>0</v>
      </c>
      <c r="CI489" s="123"/>
      <c r="CJ489" s="127"/>
      <c r="CK489" s="123"/>
      <c r="CL489" s="123"/>
      <c r="CM489" s="130"/>
      <c r="CN489" s="123"/>
      <c r="CO489" s="123"/>
      <c r="CP489" s="123"/>
      <c r="CQ489" s="123"/>
      <c r="CR489" s="123"/>
      <c r="CS489" s="123"/>
      <c r="CT489" s="143">
        <f t="shared" si="628"/>
        <v>0</v>
      </c>
      <c r="CU489" s="127"/>
      <c r="CV489" s="127"/>
      <c r="CW489" s="126">
        <f t="shared" si="630"/>
        <v>0</v>
      </c>
      <c r="CX489" s="126">
        <f t="shared" si="630"/>
        <v>0</v>
      </c>
    </row>
    <row r="490" spans="1:102" ht="15.75" customHeight="1" x14ac:dyDescent="0.25">
      <c r="A490" s="109">
        <v>37</v>
      </c>
      <c r="B490" s="150"/>
      <c r="C490" s="93" t="s">
        <v>1098</v>
      </c>
      <c r="D490" s="164" t="s">
        <v>1099</v>
      </c>
      <c r="E490" s="95">
        <v>28004</v>
      </c>
      <c r="F490" s="96">
        <v>29405</v>
      </c>
      <c r="G490" s="151">
        <v>1.75</v>
      </c>
      <c r="H490" s="166"/>
      <c r="I490" s="108"/>
      <c r="J490" s="108"/>
      <c r="K490" s="108"/>
      <c r="L490" s="111"/>
      <c r="M490" s="112">
        <v>1.4</v>
      </c>
      <c r="N490" s="112">
        <v>1.68</v>
      </c>
      <c r="O490" s="112">
        <v>2.23</v>
      </c>
      <c r="P490" s="113">
        <v>2.57</v>
      </c>
      <c r="Q490" s="103">
        <f>SUM(Q491:Q516)</f>
        <v>690</v>
      </c>
      <c r="R490" s="104">
        <f>SUM(R491:R516)</f>
        <v>54837513.353700005</v>
      </c>
      <c r="S490" s="114">
        <f t="shared" ref="S490:CD490" si="631">SUM(S491:S516)</f>
        <v>341</v>
      </c>
      <c r="T490" s="115">
        <f t="shared" si="631"/>
        <v>67284473.151000008</v>
      </c>
      <c r="U490" s="104">
        <f t="shared" si="631"/>
        <v>0</v>
      </c>
      <c r="V490" s="104">
        <f t="shared" si="631"/>
        <v>0</v>
      </c>
      <c r="W490" s="104">
        <f t="shared" si="631"/>
        <v>0</v>
      </c>
      <c r="X490" s="104">
        <f t="shared" si="631"/>
        <v>0</v>
      </c>
      <c r="Y490" s="104">
        <f t="shared" si="631"/>
        <v>0</v>
      </c>
      <c r="Z490" s="104">
        <f t="shared" si="631"/>
        <v>0</v>
      </c>
      <c r="AA490" s="104">
        <f t="shared" si="631"/>
        <v>0</v>
      </c>
      <c r="AB490" s="104">
        <f t="shared" si="631"/>
        <v>0</v>
      </c>
      <c r="AC490" s="104">
        <f t="shared" si="631"/>
        <v>0</v>
      </c>
      <c r="AD490" s="104">
        <f t="shared" si="631"/>
        <v>0</v>
      </c>
      <c r="AE490" s="104">
        <f t="shared" si="631"/>
        <v>0</v>
      </c>
      <c r="AF490" s="104">
        <f t="shared" si="631"/>
        <v>0</v>
      </c>
      <c r="AG490" s="104">
        <f t="shared" si="631"/>
        <v>0</v>
      </c>
      <c r="AH490" s="104">
        <f t="shared" si="631"/>
        <v>0</v>
      </c>
      <c r="AI490" s="104">
        <f t="shared" si="631"/>
        <v>0</v>
      </c>
      <c r="AJ490" s="104">
        <f t="shared" si="631"/>
        <v>0</v>
      </c>
      <c r="AK490" s="104">
        <f t="shared" si="631"/>
        <v>0</v>
      </c>
      <c r="AL490" s="104">
        <f t="shared" si="631"/>
        <v>0</v>
      </c>
      <c r="AM490" s="104">
        <f t="shared" si="631"/>
        <v>0</v>
      </c>
      <c r="AN490" s="104">
        <f t="shared" si="631"/>
        <v>0</v>
      </c>
      <c r="AO490" s="106">
        <f t="shared" si="631"/>
        <v>0</v>
      </c>
      <c r="AP490" s="104">
        <f t="shared" si="631"/>
        <v>0</v>
      </c>
      <c r="AQ490" s="104">
        <v>0</v>
      </c>
      <c r="AR490" s="104">
        <v>0</v>
      </c>
      <c r="AS490" s="104">
        <f t="shared" si="631"/>
        <v>2800</v>
      </c>
      <c r="AT490" s="104">
        <f t="shared" si="631"/>
        <v>150680120.71140003</v>
      </c>
      <c r="AU490" s="104">
        <f t="shared" si="631"/>
        <v>0</v>
      </c>
      <c r="AV490" s="104">
        <f t="shared" si="631"/>
        <v>0</v>
      </c>
      <c r="AW490" s="104">
        <f t="shared" si="631"/>
        <v>0</v>
      </c>
      <c r="AX490" s="104">
        <f t="shared" si="631"/>
        <v>0</v>
      </c>
      <c r="AY490" s="104">
        <f t="shared" si="631"/>
        <v>4</v>
      </c>
      <c r="AZ490" s="244">
        <f t="shared" si="631"/>
        <v>890575.55664000008</v>
      </c>
      <c r="BA490" s="104">
        <f t="shared" si="631"/>
        <v>0</v>
      </c>
      <c r="BB490" s="104">
        <f t="shared" si="631"/>
        <v>0</v>
      </c>
      <c r="BC490" s="104">
        <f t="shared" si="631"/>
        <v>0</v>
      </c>
      <c r="BD490" s="104">
        <f t="shared" si="631"/>
        <v>0</v>
      </c>
      <c r="BE490" s="104">
        <f t="shared" si="631"/>
        <v>0</v>
      </c>
      <c r="BF490" s="104">
        <f t="shared" si="631"/>
        <v>0</v>
      </c>
      <c r="BG490" s="104">
        <f t="shared" si="631"/>
        <v>0</v>
      </c>
      <c r="BH490" s="104">
        <f t="shared" si="631"/>
        <v>0</v>
      </c>
      <c r="BI490" s="104">
        <f t="shared" si="631"/>
        <v>0</v>
      </c>
      <c r="BJ490" s="104">
        <f t="shared" si="631"/>
        <v>0</v>
      </c>
      <c r="BK490" s="104">
        <f t="shared" si="631"/>
        <v>0</v>
      </c>
      <c r="BL490" s="104">
        <f t="shared" si="631"/>
        <v>0</v>
      </c>
      <c r="BM490" s="104">
        <f t="shared" si="631"/>
        <v>0</v>
      </c>
      <c r="BN490" s="104">
        <f t="shared" si="631"/>
        <v>0</v>
      </c>
      <c r="BO490" s="104">
        <f t="shared" si="631"/>
        <v>0</v>
      </c>
      <c r="BP490" s="104">
        <f t="shared" si="631"/>
        <v>0</v>
      </c>
      <c r="BQ490" s="104">
        <f t="shared" si="631"/>
        <v>0</v>
      </c>
      <c r="BR490" s="104">
        <f t="shared" si="631"/>
        <v>0</v>
      </c>
      <c r="BS490" s="104">
        <f t="shared" si="631"/>
        <v>0</v>
      </c>
      <c r="BT490" s="104">
        <f t="shared" si="631"/>
        <v>0</v>
      </c>
      <c r="BU490" s="104">
        <f t="shared" si="631"/>
        <v>0</v>
      </c>
      <c r="BV490" s="104">
        <f t="shared" si="631"/>
        <v>0</v>
      </c>
      <c r="BW490" s="104">
        <f t="shared" si="631"/>
        <v>0</v>
      </c>
      <c r="BX490" s="104">
        <f t="shared" si="631"/>
        <v>0</v>
      </c>
      <c r="BY490" s="104">
        <f t="shared" si="631"/>
        <v>0</v>
      </c>
      <c r="BZ490" s="104">
        <f t="shared" si="631"/>
        <v>0</v>
      </c>
      <c r="CA490" s="104">
        <f t="shared" si="631"/>
        <v>0</v>
      </c>
      <c r="CB490" s="104">
        <f t="shared" si="631"/>
        <v>0</v>
      </c>
      <c r="CC490" s="104">
        <f t="shared" si="631"/>
        <v>0</v>
      </c>
      <c r="CD490" s="104">
        <f t="shared" si="631"/>
        <v>0</v>
      </c>
      <c r="CE490" s="104">
        <f t="shared" ref="CE490:CX490" si="632">SUM(CE491:CE516)</f>
        <v>0</v>
      </c>
      <c r="CF490" s="104">
        <f t="shared" si="632"/>
        <v>0</v>
      </c>
      <c r="CG490" s="104">
        <f t="shared" si="632"/>
        <v>0</v>
      </c>
      <c r="CH490" s="104">
        <f t="shared" si="632"/>
        <v>0</v>
      </c>
      <c r="CI490" s="104">
        <f t="shared" si="632"/>
        <v>0</v>
      </c>
      <c r="CJ490" s="104">
        <f t="shared" si="632"/>
        <v>0</v>
      </c>
      <c r="CK490" s="104">
        <f t="shared" si="632"/>
        <v>10</v>
      </c>
      <c r="CL490" s="244">
        <f t="shared" si="632"/>
        <v>662844.89880000008</v>
      </c>
      <c r="CM490" s="104">
        <f t="shared" si="632"/>
        <v>0</v>
      </c>
      <c r="CN490" s="104">
        <f t="shared" si="632"/>
        <v>0</v>
      </c>
      <c r="CO490" s="104">
        <f t="shared" si="632"/>
        <v>0</v>
      </c>
      <c r="CP490" s="104">
        <f t="shared" si="632"/>
        <v>0</v>
      </c>
      <c r="CQ490" s="104">
        <f t="shared" si="632"/>
        <v>0</v>
      </c>
      <c r="CR490" s="104">
        <f t="shared" si="632"/>
        <v>0</v>
      </c>
      <c r="CS490" s="104">
        <f t="shared" si="632"/>
        <v>0</v>
      </c>
      <c r="CT490" s="104">
        <f t="shared" si="632"/>
        <v>0</v>
      </c>
      <c r="CU490" s="104">
        <f t="shared" si="632"/>
        <v>0</v>
      </c>
      <c r="CV490" s="104">
        <f t="shared" si="632"/>
        <v>0</v>
      </c>
      <c r="CW490" s="104">
        <f t="shared" si="632"/>
        <v>3845</v>
      </c>
      <c r="CX490" s="104">
        <f t="shared" si="632"/>
        <v>274355527.67154008</v>
      </c>
    </row>
    <row r="491" spans="1:102" ht="45" customHeight="1" x14ac:dyDescent="0.25">
      <c r="A491" s="91"/>
      <c r="B491" s="116">
        <v>412</v>
      </c>
      <c r="C491" s="117" t="s">
        <v>1100</v>
      </c>
      <c r="D491" s="161" t="s">
        <v>1101</v>
      </c>
      <c r="E491" s="95">
        <v>28004</v>
      </c>
      <c r="F491" s="96">
        <v>29405</v>
      </c>
      <c r="G491" s="156">
        <v>1.53</v>
      </c>
      <c r="H491" s="107">
        <v>1</v>
      </c>
      <c r="I491" s="108"/>
      <c r="J491" s="108"/>
      <c r="K491" s="108"/>
      <c r="L491" s="63"/>
      <c r="M491" s="120">
        <v>1.4</v>
      </c>
      <c r="N491" s="120">
        <v>1.68</v>
      </c>
      <c r="O491" s="120">
        <v>2.23</v>
      </c>
      <c r="P491" s="121">
        <v>2.57</v>
      </c>
      <c r="Q491" s="122">
        <v>208</v>
      </c>
      <c r="R491" s="123">
        <f>(Q491/12*2*$E491*$G491*$H491*$M491*$R$11)+(Q491/12*10*$F491*$G491*$H491*$M491*$R$11)</f>
        <v>14296648.7664</v>
      </c>
      <c r="S491" s="124">
        <v>4</v>
      </c>
      <c r="T491" s="125">
        <f>(S491/12*2*$E491*$G491*$H491*$M491*$R$11)+(S491/12*10*$F491*$G491*$H491*$M491*$R$11)</f>
        <v>274935.55319999997</v>
      </c>
      <c r="U491" s="123"/>
      <c r="V491" s="123">
        <f>(U491/12*2*$E491*$G491*$H491*$M491*$V$11)+(U491/12*10*$F491*$G491*$H491*$M491*$V$12)</f>
        <v>0</v>
      </c>
      <c r="W491" s="123"/>
      <c r="X491" s="126">
        <f>(W491/12*2*$E491*$G491*$H491*$M491*$X$11)+(W491/12*10*$F491*$G491*$H491*$M491*$X$12)</f>
        <v>0</v>
      </c>
      <c r="Y491" s="123"/>
      <c r="Z491" s="123">
        <f>(Y491/12*2*$E491*$G491*$H491*$M491*$Z$11)+(Y491/12*10*$F491*$G491*$H491*$M491*$Z$12)</f>
        <v>0</v>
      </c>
      <c r="AA491" s="123"/>
      <c r="AB491" s="123">
        <f>(AA491/12*2*$E491*$G491*$H491*$M491*$AB$11)+(AA491/12*10*$F491*$G491*$H491*$M491*$AB$11)</f>
        <v>0</v>
      </c>
      <c r="AC491" s="123"/>
      <c r="AD491" s="123"/>
      <c r="AE491" s="123"/>
      <c r="AF491" s="123">
        <f>(AE491/12*2*$E491*$G491*$H491*$M491*$AF$11)+(AE491/12*10*$F491*$G491*$H491*$M491*$AF$11)</f>
        <v>0</v>
      </c>
      <c r="AG491" s="123"/>
      <c r="AH491" s="126">
        <f>(AG491/12*2*$E491*$G491*$H491*$M491*$AH$11)+(AG491/12*10*$F491*$G491*$H491*$M491*$AH$11)</f>
        <v>0</v>
      </c>
      <c r="AI491" s="123"/>
      <c r="AJ491" s="123">
        <f t="shared" ref="AJ491:AJ493" si="633">(AI491/12*2*$E491*$G491*$H491*$M491*$AJ$11)+(AI491/12*5*$F491*$G491*$H491*$M491*$AJ$12)+(AI491/12*5*$F491*$G491*$H491*$M491*$AJ$13)</f>
        <v>0</v>
      </c>
      <c r="AK491" s="123"/>
      <c r="AL491" s="123">
        <f t="shared" ref="AL491:AL493" si="634">(AK491/12*2*$E491*$G491*$H491*$N491*$AL$11)+(AK491/12*5*$F491*$G491*$H491*$N491*$AL$12)++(AK491/12*5*$F491*$G491*$H491*$N491*$AL$13)</f>
        <v>0</v>
      </c>
      <c r="AM491" s="132"/>
      <c r="AN491" s="123">
        <f>(AM491/12*2*$E491*$G491*$H491*$N491*$AN$11)+(AM491/12*10*$F491*$G491*$H491*$N491*$AN$12)</f>
        <v>0</v>
      </c>
      <c r="AO491" s="130"/>
      <c r="AP491" s="127">
        <f>(AO491/12*2*$E491*$G491*$H491*$N491*$AP$11)+(AO491/12*10*$F491*$G491*$H491*$N491*$AP$11)</f>
        <v>0</v>
      </c>
      <c r="AQ491" s="127">
        <v>0</v>
      </c>
      <c r="AR491" s="127">
        <v>0</v>
      </c>
      <c r="AS491" s="123">
        <v>20</v>
      </c>
      <c r="AT491" s="123">
        <f>(AS491/12*2*$E491*$G491*$H491*$M491*$AT$11)+(AS491/12*10*$F491*$G491*$H491*$M491*$AT$11)</f>
        <v>1124736.3540000001</v>
      </c>
      <c r="AU491" s="123"/>
      <c r="AV491" s="126">
        <f>(AU491/12*2*$E491*$G491*$H491*$M491*$AV$11)+(AU491/12*10*$F491*$G491*$H491*$M491*$AV$12)</f>
        <v>0</v>
      </c>
      <c r="AW491" s="123"/>
      <c r="AX491" s="123">
        <f>(AW491/12*2*$E491*$G491*$H491*$M491*$AX$11)+(AW491/12*10*$F491*$G491*$H491*$M491*$AX$12)</f>
        <v>0</v>
      </c>
      <c r="AY491" s="123"/>
      <c r="AZ491" s="123">
        <f>(AY491/12*2*$E491*$G491*$H491*$N491*$AZ$11)+(AY491/12*10*$F491*$G491*$H491*$N491*$AZ$11)</f>
        <v>0</v>
      </c>
      <c r="BA491" s="123"/>
      <c r="BB491" s="123">
        <f>(BA491/12*2*$E491*$G491*$H491*$N491*$BB$11)+(BA491/12*10*$F491*$G491*$H491*$N491*$BB$12)</f>
        <v>0</v>
      </c>
      <c r="BC491" s="123"/>
      <c r="BD491" s="126">
        <f>(BC491/12*2*$E491*$G491*$H491*$N491*$BD$11)+(BC491/12*10*$F491*$G491*$H491*$N491*$BD$12)</f>
        <v>0</v>
      </c>
      <c r="BE491" s="123"/>
      <c r="BF491" s="123">
        <f>(BE491/12*10*$F491*$G491*$H491*$N491*$BF$12)</f>
        <v>0</v>
      </c>
      <c r="BG491" s="123"/>
      <c r="BH491" s="123">
        <f>(BG491/12*2*$E491*$G491*$H491*$N491*$BH$11)+(BG491/12*10*$F491*$G491*$H491*$N491*$BH$11)</f>
        <v>0</v>
      </c>
      <c r="BI491" s="123"/>
      <c r="BJ491" s="126">
        <f>(BI491/12*2*$E491*$G491*$H491*$N491*$BJ$11)+(BI491/12*10*$F491*$G491*$H491*$N491*$BJ$11)</f>
        <v>0</v>
      </c>
      <c r="BK491" s="123"/>
      <c r="BL491" s="127">
        <f>(BK491/12*2*$E491*$G491*$H491*$N491*$BL$11)+(BK491/12*10*$F491*$G491*$H491*$N491*$BL$11)</f>
        <v>0</v>
      </c>
      <c r="BM491" s="123"/>
      <c r="BN491" s="123">
        <f>(BM491/12*2*$E491*$G491*$H491*$M491*$BN$11)+(BM491/12*10*$F491*$G491*$H491*$M491*$BN$11)</f>
        <v>0</v>
      </c>
      <c r="BO491" s="123"/>
      <c r="BP491" s="123">
        <f>(BO491/12*2*$E491*$G491*$H491*$M491*$BP$11)+(BO491/12*10*$F491*$G491*$H491*$M491*$BP$12)</f>
        <v>0</v>
      </c>
      <c r="BQ491" s="123"/>
      <c r="BR491" s="123">
        <f>(BQ491/12*2*$E491*$G491*$H491*$M491*$BR$11)+(BQ491/12*10*$F491*$G491*$H491*$M491*$BR$11)</f>
        <v>0</v>
      </c>
      <c r="BS491" s="123"/>
      <c r="BT491" s="123">
        <f>(BS491/12*2*$E491*$G491*$H491*$N491*$BT$11)+(BS491/12*10*$F491*$G491*$H491*$N491*$BT$11)</f>
        <v>0</v>
      </c>
      <c r="BU491" s="123"/>
      <c r="BV491" s="126">
        <f>(BU491/12*2*$E491*$G491*$H491*$M491*$BV$11)+(BU491/12*10*$F491*$G491*$H491*$M491*$BV$11)</f>
        <v>0</v>
      </c>
      <c r="BW491" s="123"/>
      <c r="BX491" s="123">
        <f>(BW491/12*2*$E491*$G491*$H491*$M491*$BX$11)+(BW491/12*10*$F491*$G491*$H491*$M491*$BX$11)</f>
        <v>0</v>
      </c>
      <c r="BY491" s="123"/>
      <c r="BZ491" s="123">
        <f>(BY491/12*2*$E491*$G491*$H491*$M491*$BZ$11)+(BY491/12*10*$F491*$G491*$H491*$M491*$BZ$11)</f>
        <v>0</v>
      </c>
      <c r="CA491" s="123"/>
      <c r="CB491" s="123">
        <f>(CA491/12*2*$E491*$G491*$H491*$M491*$CB$11)+(CA491/12*10*$F491*$G491*$H491*$M491*$CB$11)</f>
        <v>0</v>
      </c>
      <c r="CC491" s="123"/>
      <c r="CD491" s="123">
        <f>(CC491/12*2*$E491*$G491*$H491*$M491*$CD$11)+(CC491/12*10*$F491*$G491*$H491*$M491*$CD$11)</f>
        <v>0</v>
      </c>
      <c r="CE491" s="123"/>
      <c r="CF491" s="123">
        <f>(CE491/12*10*$F491*$G491*$H491*$N491*$CF$11)</f>
        <v>0</v>
      </c>
      <c r="CG491" s="132"/>
      <c r="CH491" s="123">
        <f>(CG491/12*2*$E491*$G491*$H491*$N491*$CH$11)+(CG491/12*10*$F491*$G491*$H491*$N491*$CH$11)</f>
        <v>0</v>
      </c>
      <c r="CI491" s="123"/>
      <c r="CJ491" s="123"/>
      <c r="CK491" s="130">
        <v>10</v>
      </c>
      <c r="CL491" s="123">
        <f>(CK491/12*2*$E491*$G491*$H491*$N491*$CL$11)+(CK491/12*10*$F491*$G491*$H491*$N491*$CL$12)</f>
        <v>662844.89880000008</v>
      </c>
      <c r="CM491" s="130"/>
      <c r="CN491" s="123">
        <f>(CM491/12*2*$E491*$G491*$H491*$N491*$CN$11)+(CM491/12*10*$F491*$G491*$H491*$N491*$CN$11)</f>
        <v>0</v>
      </c>
      <c r="CO491" s="123"/>
      <c r="CP491" s="123">
        <f>(CO491/12*2*$E491*$G491*$H491*$N491*$CP$11)+(CO491/12*10*$F491*$G491*$H491*$N491*$CP$11)</f>
        <v>0</v>
      </c>
      <c r="CQ491" s="123"/>
      <c r="CR491" s="123">
        <f>(CQ491/12*2*$E491*$G491*$H491*$O491*$CR$11)+(CQ491/12*10*$F491*$G491*$H491*$O491*$CR$11)</f>
        <v>0</v>
      </c>
      <c r="CS491" s="123"/>
      <c r="CT491" s="133">
        <f>(CS491/12*2*$E491*$G491*$H491*$P491*$CT$11)+(CS491/12*10*$F491*$G491*$H491*$P491*$CT$11)</f>
        <v>0</v>
      </c>
      <c r="CU491" s="127"/>
      <c r="CV491" s="123">
        <f>(CU491*$E491*$G491*$H491*$M491*CV$11)/12*6+(CU491*$E491*$G491*$H491*1*CV$11)/12*6</f>
        <v>0</v>
      </c>
      <c r="CW491" s="126">
        <f t="shared" ref="CW491:CX493" si="635">SUM(Q491,S491,U491,W491,Y491,AA491,AC491,AE491,AG491,AM491,BQ491,AI491,AU491,CC491,AW491,AY491,AK491,BC491,AO491,AQ491,BE491,CE491,BG491,BI491,BK491,BS491,BM491,BO491,BU491,BW491,BY491,CA491,CG491,BA491,AS491,CI491,CK491,CM491,CO491,CQ491,CS491,CU491)</f>
        <v>242</v>
      </c>
      <c r="CX491" s="126">
        <f t="shared" si="635"/>
        <v>16359165.572400002</v>
      </c>
    </row>
    <row r="492" spans="1:102" ht="45" customHeight="1" x14ac:dyDescent="0.25">
      <c r="A492" s="91"/>
      <c r="B492" s="116">
        <v>413</v>
      </c>
      <c r="C492" s="117" t="s">
        <v>1102</v>
      </c>
      <c r="D492" s="161" t="s">
        <v>1103</v>
      </c>
      <c r="E492" s="95">
        <v>28004</v>
      </c>
      <c r="F492" s="96">
        <v>29405</v>
      </c>
      <c r="G492" s="156">
        <v>3.4</v>
      </c>
      <c r="H492" s="107">
        <v>1</v>
      </c>
      <c r="I492" s="108"/>
      <c r="J492" s="108"/>
      <c r="K492" s="108"/>
      <c r="L492" s="63"/>
      <c r="M492" s="120">
        <v>1.4</v>
      </c>
      <c r="N492" s="120">
        <v>1.68</v>
      </c>
      <c r="O492" s="120">
        <v>2.23</v>
      </c>
      <c r="P492" s="121">
        <v>2.57</v>
      </c>
      <c r="Q492" s="122">
        <v>90</v>
      </c>
      <c r="R492" s="123">
        <f>(Q492/12*2*$E492*$G492*$H492*$M492*$R$11)+(Q492/12*10*$F492*$G492*$H492*$M492*$R$11)</f>
        <v>13746777.660000002</v>
      </c>
      <c r="S492" s="124">
        <v>126</v>
      </c>
      <c r="T492" s="125">
        <f>(S492/12*2*$E492*$G492*$H492*$M492*$R$11)+(S492/12*10*$F492*$G492*$H492*$M492*$R$11)</f>
        <v>19245488.723999999</v>
      </c>
      <c r="U492" s="123"/>
      <c r="V492" s="123">
        <f>(U492/12*2*$E492*$G492*$H492*$M492*$V$11)+(U492/12*10*$F492*$G492*$H492*$M492*$V$12)</f>
        <v>0</v>
      </c>
      <c r="W492" s="123"/>
      <c r="X492" s="126">
        <f>(W492/12*2*$E492*$G492*$H492*$M492*$X$11)+(W492/12*10*$F492*$G492*$H492*$M492*$X$12)</f>
        <v>0</v>
      </c>
      <c r="Y492" s="123"/>
      <c r="Z492" s="123">
        <f>(Y492/12*2*$E492*$G492*$H492*$M492*$Z$11)+(Y492/12*10*$F492*$G492*$H492*$M492*$Z$12)</f>
        <v>0</v>
      </c>
      <c r="AA492" s="123"/>
      <c r="AB492" s="123">
        <f>(AA492/12*2*$E492*$G492*$H492*$M492*$AB$11)+(AA492/12*10*$F492*$G492*$H492*$M492*$AB$11)</f>
        <v>0</v>
      </c>
      <c r="AC492" s="123"/>
      <c r="AD492" s="123"/>
      <c r="AE492" s="123"/>
      <c r="AF492" s="123">
        <f>(AE492/12*2*$E492*$G492*$H492*$M492*$AF$11)+(AE492/12*10*$F492*$G492*$H492*$M492*$AF$11)</f>
        <v>0</v>
      </c>
      <c r="AG492" s="123"/>
      <c r="AH492" s="126">
        <f>(AG492/12*2*$E492*$G492*$H492*$M492*$AH$11)+(AG492/12*10*$F492*$G492*$H492*$M492*$AH$11)</f>
        <v>0</v>
      </c>
      <c r="AI492" s="123"/>
      <c r="AJ492" s="123">
        <f t="shared" si="633"/>
        <v>0</v>
      </c>
      <c r="AK492" s="123"/>
      <c r="AL492" s="123">
        <f t="shared" si="634"/>
        <v>0</v>
      </c>
      <c r="AM492" s="132"/>
      <c r="AN492" s="123">
        <f>(AM492/12*2*$E492*$G492*$H492*$N492*$AN$11)+(AM492/12*10*$F492*$G492*$H492*$N492*$AN$12)</f>
        <v>0</v>
      </c>
      <c r="AO492" s="130"/>
      <c r="AP492" s="127">
        <f>(AO492/12*2*$E492*$G492*$H492*$N492*$AP$11)+(AO492/12*10*$F492*$G492*$H492*$N492*$AP$11)</f>
        <v>0</v>
      </c>
      <c r="AQ492" s="127">
        <v>0</v>
      </c>
      <c r="AR492" s="127">
        <v>0</v>
      </c>
      <c r="AS492" s="123">
        <v>8</v>
      </c>
      <c r="AT492" s="123">
        <f>(AS492/12*2*$E492*$G492*$H492*$M492*$AT$11)+(AS492/12*10*$F492*$G492*$H492*$M492*$AT$11)</f>
        <v>999765.64799999993</v>
      </c>
      <c r="AU492" s="123"/>
      <c r="AV492" s="126">
        <f>(AU492/12*2*$E492*$G492*$H492*$M492*$AV$11)+(AU492/12*10*$F492*$G492*$H492*$M492*$AV$12)</f>
        <v>0</v>
      </c>
      <c r="AW492" s="123"/>
      <c r="AX492" s="123">
        <f>(AW492/12*2*$E492*$G492*$H492*$M492*$AX$11)+(AW492/12*10*$F492*$G492*$H492*$M492*$AX$12)</f>
        <v>0</v>
      </c>
      <c r="AY492" s="123">
        <v>2</v>
      </c>
      <c r="AZ492" s="123">
        <f>(AY492/12*2*$E492*$G492*$H492*$N492*$AZ$11)+(AY492/12*10*$F492*$G492*$H492*$N492*$AZ$11)</f>
        <v>366580.73759999999</v>
      </c>
      <c r="BA492" s="123"/>
      <c r="BB492" s="123">
        <f>(BA492/12*2*$E492*$G492*$H492*$N492*$BB$11)+(BA492/12*10*$F492*$G492*$H492*$N492*$BB$12)</f>
        <v>0</v>
      </c>
      <c r="BC492" s="123"/>
      <c r="BD492" s="126">
        <f>(BC492/12*2*$E492*$G492*$H492*$N492*$BD$11)+(BC492/12*10*$F492*$G492*$H492*$N492*$BD$12)</f>
        <v>0</v>
      </c>
      <c r="BE492" s="123"/>
      <c r="BF492" s="123">
        <f>(BE492/12*10*$F492*$G492*$H492*$N492*$BF$12)</f>
        <v>0</v>
      </c>
      <c r="BG492" s="123"/>
      <c r="BH492" s="123">
        <f>(BG492/12*2*$E492*$G492*$H492*$N492*$BH$11)+(BG492/12*10*$F492*$G492*$H492*$N492*$BH$11)</f>
        <v>0</v>
      </c>
      <c r="BI492" s="123"/>
      <c r="BJ492" s="126">
        <f>(BI492/12*2*$E492*$G492*$H492*$N492*$BJ$11)+(BI492/12*10*$F492*$G492*$H492*$N492*$BJ$11)</f>
        <v>0</v>
      </c>
      <c r="BK492" s="123"/>
      <c r="BL492" s="127">
        <f>(BK492/12*2*$E492*$G492*$H492*$N492*$BL$11)+(BK492/12*10*$F492*$G492*$H492*$N492*$BL$11)</f>
        <v>0</v>
      </c>
      <c r="BM492" s="123"/>
      <c r="BN492" s="123">
        <f>(BM492/12*2*$E492*$G492*$H492*$M492*$BN$11)+(BM492/12*10*$F492*$G492*$H492*$M492*$BN$11)</f>
        <v>0</v>
      </c>
      <c r="BO492" s="123"/>
      <c r="BP492" s="123">
        <f>(BO492/12*2*$E492*$G492*$H492*$M492*$BP$11)+(BO492/12*10*$F492*$G492*$H492*$M492*$BP$12)</f>
        <v>0</v>
      </c>
      <c r="BQ492" s="123"/>
      <c r="BR492" s="123">
        <f>(BQ492/12*2*$E492*$G492*$H492*$M492*$BR$11)+(BQ492/12*10*$F492*$G492*$H492*$M492*$BR$11)</f>
        <v>0</v>
      </c>
      <c r="BS492" s="123"/>
      <c r="BT492" s="123">
        <f>(BS492/12*2*$E492*$G492*$H492*$N492*$BT$11)+(BS492/12*10*$F492*$G492*$H492*$N492*$BT$11)</f>
        <v>0</v>
      </c>
      <c r="BU492" s="123"/>
      <c r="BV492" s="126">
        <f>(BU492/12*2*$E492*$G492*$H492*$M492*$BV$11)+(BU492/12*10*$F492*$G492*$H492*$M492*$BV$11)</f>
        <v>0</v>
      </c>
      <c r="BW492" s="123"/>
      <c r="BX492" s="123">
        <f>(BW492/12*2*$E492*$G492*$H492*$M492*$BX$11)+(BW492/12*10*$F492*$G492*$H492*$M492*$BX$11)</f>
        <v>0</v>
      </c>
      <c r="BY492" s="123"/>
      <c r="BZ492" s="123">
        <f>(BY492/12*2*$E492*$G492*$H492*$M492*$BZ$11)+(BY492/12*10*$F492*$G492*$H492*$M492*$BZ$11)</f>
        <v>0</v>
      </c>
      <c r="CA492" s="123"/>
      <c r="CB492" s="123">
        <f>(CA492/12*2*$E492*$G492*$H492*$M492*$CB$11)+(CA492/12*10*$F492*$G492*$H492*$M492*$CB$11)</f>
        <v>0</v>
      </c>
      <c r="CC492" s="123"/>
      <c r="CD492" s="123">
        <f>(CC492/12*2*$E492*$G492*$H492*$M492*$CD$11)+(CC492/12*10*$F492*$G492*$H492*$M492*$CD$11)</f>
        <v>0</v>
      </c>
      <c r="CE492" s="123"/>
      <c r="CF492" s="123">
        <f>(CE492/12*10*$F492*$G492*$H492*$N492*$CF$11)</f>
        <v>0</v>
      </c>
      <c r="CG492" s="132"/>
      <c r="CH492" s="123">
        <f>(CG492/12*2*$E492*$G492*$H492*$N492*$CH$11)+(CG492/12*10*$F492*$G492*$H492*$N492*$CH$11)</f>
        <v>0</v>
      </c>
      <c r="CI492" s="123"/>
      <c r="CJ492" s="123"/>
      <c r="CK492" s="130"/>
      <c r="CL492" s="123">
        <f>(CK492/12*2*$E492*$G492*$H492*$N492*$CL$11)+(CK492/12*10*$F492*$G492*$H492*$N492*$CL$12)</f>
        <v>0</v>
      </c>
      <c r="CM492" s="130"/>
      <c r="CN492" s="123">
        <f>(CM492/12*2*$E492*$G492*$H492*$N492*$CN$11)+(CM492/12*10*$F492*$G492*$H492*$N492*$CN$11)</f>
        <v>0</v>
      </c>
      <c r="CO492" s="123"/>
      <c r="CP492" s="123">
        <f>(CO492/12*2*$E492*$G492*$H492*$N492*$CP$11)+(CO492/12*10*$F492*$G492*$H492*$N492*$CP$11)</f>
        <v>0</v>
      </c>
      <c r="CQ492" s="123"/>
      <c r="CR492" s="123">
        <f>(CQ492/12*2*$E492*$G492*$H492*$O492*$CR$11)+(CQ492/12*10*$F492*$G492*$H492*$O492*$CR$11)</f>
        <v>0</v>
      </c>
      <c r="CS492" s="123"/>
      <c r="CT492" s="133">
        <f>(CS492/12*2*$E492*$G492*$H492*$P492*$CT$11)+(CS492/12*10*$F492*$G492*$H492*$P492*$CT$11)</f>
        <v>0</v>
      </c>
      <c r="CU492" s="127"/>
      <c r="CV492" s="123">
        <f>(CU492*$E492*$G492*$H492*$M492*CV$11)/12*6+(CU492*$E492*$G492*$H492*1*CV$11)/12*6</f>
        <v>0</v>
      </c>
      <c r="CW492" s="126">
        <f t="shared" si="635"/>
        <v>226</v>
      </c>
      <c r="CX492" s="126">
        <f t="shared" si="635"/>
        <v>34358612.769600004</v>
      </c>
    </row>
    <row r="493" spans="1:102" ht="45" customHeight="1" x14ac:dyDescent="0.25">
      <c r="A493" s="91"/>
      <c r="B493" s="116">
        <v>414</v>
      </c>
      <c r="C493" s="117" t="s">
        <v>1104</v>
      </c>
      <c r="D493" s="161" t="s">
        <v>1105</v>
      </c>
      <c r="E493" s="95">
        <v>28004</v>
      </c>
      <c r="F493" s="96">
        <v>29405</v>
      </c>
      <c r="G493" s="156">
        <v>4.8600000000000003</v>
      </c>
      <c r="H493" s="107">
        <v>1</v>
      </c>
      <c r="I493" s="108"/>
      <c r="J493" s="108"/>
      <c r="K493" s="108"/>
      <c r="L493" s="63"/>
      <c r="M493" s="120">
        <v>1.4</v>
      </c>
      <c r="N493" s="120">
        <v>1.68</v>
      </c>
      <c r="O493" s="120">
        <v>2.23</v>
      </c>
      <c r="P493" s="121">
        <v>2.57</v>
      </c>
      <c r="Q493" s="122">
        <v>0</v>
      </c>
      <c r="R493" s="123">
        <f>(Q493/12*2*$E493*$G493*$H493*$M493*$R$11)+(Q493/12*10*$F493*$G493*$H493*$M493*$R$11)</f>
        <v>0</v>
      </c>
      <c r="S493" s="124">
        <v>190</v>
      </c>
      <c r="T493" s="125">
        <f>(S493/12*2*$E493*$G493*$H493*$M493*$R$11)+(S493/12*10*$F493*$G493*$H493*$M493*$R$11)</f>
        <v>41482923.17400001</v>
      </c>
      <c r="U493" s="123"/>
      <c r="V493" s="123">
        <f>(U493/12*2*$E493*$G493*$H493*$M493*$V$11)+(U493/12*10*$F493*$G493*$H493*$M493*$V$12)</f>
        <v>0</v>
      </c>
      <c r="W493" s="123"/>
      <c r="X493" s="126">
        <f>(W493/12*2*$E493*$G493*$H493*$M493*$X$11)+(W493/12*10*$F493*$G493*$H493*$M493*$X$12)</f>
        <v>0</v>
      </c>
      <c r="Y493" s="123"/>
      <c r="Z493" s="123">
        <f>(Y493/12*2*$E493*$G493*$H493*$M493*$Z$11)+(Y493/12*10*$F493*$G493*$H493*$M493*$Z$12)</f>
        <v>0</v>
      </c>
      <c r="AA493" s="123"/>
      <c r="AB493" s="123">
        <f>(AA493/12*2*$E493*$G493*$H493*$M493*$AB$11)+(AA493/12*10*$F493*$G493*$H493*$M493*$AB$11)</f>
        <v>0</v>
      </c>
      <c r="AC493" s="123"/>
      <c r="AD493" s="123"/>
      <c r="AE493" s="123"/>
      <c r="AF493" s="123">
        <f>(AE493/12*2*$E493*$G493*$H493*$M493*$AF$11)+(AE493/12*10*$F493*$G493*$H493*$M493*$AF$11)</f>
        <v>0</v>
      </c>
      <c r="AG493" s="123"/>
      <c r="AH493" s="126">
        <f>(AG493/12*2*$E493*$G493*$H493*$M493*$AH$11)+(AG493/12*10*$F493*$G493*$H493*$M493*$AH$11)</f>
        <v>0</v>
      </c>
      <c r="AI493" s="123"/>
      <c r="AJ493" s="123">
        <f t="shared" si="633"/>
        <v>0</v>
      </c>
      <c r="AK493" s="123"/>
      <c r="AL493" s="123">
        <f t="shared" si="634"/>
        <v>0</v>
      </c>
      <c r="AM493" s="132"/>
      <c r="AN493" s="123">
        <f>(AM493/12*2*$E493*$G493*$H493*$N493*$AN$11)+(AM493/12*10*$F493*$G493*$H493*$N493*$AN$12)</f>
        <v>0</v>
      </c>
      <c r="AO493" s="130"/>
      <c r="AP493" s="127">
        <f>(AO493/12*2*$E493*$G493*$H493*$N493*$AP$11)+(AO493/12*10*$F493*$G493*$H493*$N493*$AP$11)</f>
        <v>0</v>
      </c>
      <c r="AQ493" s="127">
        <v>0</v>
      </c>
      <c r="AR493" s="127">
        <v>0</v>
      </c>
      <c r="AS493" s="123">
        <v>8</v>
      </c>
      <c r="AT493" s="123">
        <f>(AS493/12*2*$E493*$G493*$H493*$M493*$AT$11)+(AS493/12*10*$F493*$G493*$H493*$M493*$AT$11)</f>
        <v>1429076.7792</v>
      </c>
      <c r="AU493" s="123"/>
      <c r="AV493" s="126">
        <f>(AU493/12*2*$E493*$G493*$H493*$M493*$AV$11)+(AU493/12*10*$F493*$G493*$H493*$M493*$AV$12)</f>
        <v>0</v>
      </c>
      <c r="AW493" s="123"/>
      <c r="AX493" s="123">
        <f>(AW493/12*2*$E493*$G493*$H493*$M493*$AX$11)+(AW493/12*10*$F493*$G493*$H493*$M493*$AX$12)</f>
        <v>0</v>
      </c>
      <c r="AY493" s="123">
        <v>2</v>
      </c>
      <c r="AZ493" s="123">
        <f>(AY493/12*2*$E493*$G493*$H493*$N493*$AZ$11)+(AY493/12*10*$F493*$G493*$H493*$N493*$AZ$11)</f>
        <v>523994.81904000003</v>
      </c>
      <c r="BA493" s="123"/>
      <c r="BB493" s="123">
        <f>(BA493/12*2*$E493*$G493*$H493*$N493*$BB$11)+(BA493/12*10*$F493*$G493*$H493*$N493*$BB$12)</f>
        <v>0</v>
      </c>
      <c r="BC493" s="123"/>
      <c r="BD493" s="126">
        <f>(BC493/12*2*$E493*$G493*$H493*$N493*$BD$11)+(BC493/12*10*$F493*$G493*$H493*$N493*$BD$12)</f>
        <v>0</v>
      </c>
      <c r="BE493" s="123"/>
      <c r="BF493" s="123">
        <f>(BE493/12*10*$F493*$G493*$H493*$N493*$BF$12)</f>
        <v>0</v>
      </c>
      <c r="BG493" s="123"/>
      <c r="BH493" s="123">
        <f>(BG493/12*2*$E493*$G493*$H493*$N493*$BH$11)+(BG493/12*10*$F493*$G493*$H493*$N493*$BH$11)</f>
        <v>0</v>
      </c>
      <c r="BI493" s="123"/>
      <c r="BJ493" s="126">
        <f>(BI493/12*2*$E493*$G493*$H493*$N493*$BJ$11)+(BI493/12*10*$F493*$G493*$H493*$N493*$BJ$11)</f>
        <v>0</v>
      </c>
      <c r="BK493" s="123"/>
      <c r="BL493" s="127">
        <f>(BK493/12*2*$E493*$G493*$H493*$N493*$BL$11)+(BK493/12*10*$F493*$G493*$H493*$N493*$BL$11)</f>
        <v>0</v>
      </c>
      <c r="BM493" s="123"/>
      <c r="BN493" s="123">
        <f>(BM493/12*2*$E493*$G493*$H493*$M493*$BN$11)+(BM493/12*10*$F493*$G493*$H493*$M493*$BN$11)</f>
        <v>0</v>
      </c>
      <c r="BO493" s="123"/>
      <c r="BP493" s="123">
        <f>(BO493/12*2*$E493*$G493*$H493*$M493*$BP$11)+(BO493/12*10*$F493*$G493*$H493*$M493*$BP$12)</f>
        <v>0</v>
      </c>
      <c r="BQ493" s="123"/>
      <c r="BR493" s="123">
        <f>(BQ493/12*2*$E493*$G493*$H493*$M493*$BR$11)+(BQ493/12*10*$F493*$G493*$H493*$M493*$BR$11)</f>
        <v>0</v>
      </c>
      <c r="BS493" s="123"/>
      <c r="BT493" s="123">
        <f>(BS493/12*2*$E493*$G493*$H493*$N493*$BT$11)+(BS493/12*10*$F493*$G493*$H493*$N493*$BT$11)</f>
        <v>0</v>
      </c>
      <c r="BU493" s="123"/>
      <c r="BV493" s="126">
        <f>(BU493/12*2*$E493*$G493*$H493*$M493*$BV$11)+(BU493/12*10*$F493*$G493*$H493*$M493*$BV$11)</f>
        <v>0</v>
      </c>
      <c r="BW493" s="123"/>
      <c r="BX493" s="123">
        <f>(BW493/12*2*$E493*$G493*$H493*$M493*$BX$11)+(BW493/12*10*$F493*$G493*$H493*$M493*$BX$11)</f>
        <v>0</v>
      </c>
      <c r="BY493" s="123"/>
      <c r="BZ493" s="123">
        <f>(BY493/12*2*$E493*$G493*$H493*$M493*$BZ$11)+(BY493/12*10*$F493*$G493*$H493*$M493*$BZ$11)</f>
        <v>0</v>
      </c>
      <c r="CA493" s="123"/>
      <c r="CB493" s="123">
        <f>(CA493/12*2*$E493*$G493*$H493*$M493*$CB$11)+(CA493/12*10*$F493*$G493*$H493*$M493*$CB$11)</f>
        <v>0</v>
      </c>
      <c r="CC493" s="123"/>
      <c r="CD493" s="123">
        <f>(CC493/12*2*$E493*$G493*$H493*$M493*$CD$11)+(CC493/12*10*$F493*$G493*$H493*$M493*$CD$11)</f>
        <v>0</v>
      </c>
      <c r="CE493" s="123"/>
      <c r="CF493" s="123">
        <f>(CE493/12*10*$F493*$G493*$H493*$N493*$CF$11)</f>
        <v>0</v>
      </c>
      <c r="CG493" s="132"/>
      <c r="CH493" s="123">
        <f>(CG493/12*2*$E493*$G493*$H493*$N493*$CH$11)+(CG493/12*10*$F493*$G493*$H493*$N493*$CH$11)</f>
        <v>0</v>
      </c>
      <c r="CI493" s="123"/>
      <c r="CJ493" s="123"/>
      <c r="CK493" s="130"/>
      <c r="CL493" s="123">
        <f>(CK493/12*2*$E493*$G493*$H493*$N493*$CL$11)+(CK493/12*10*$F493*$G493*$H493*$N493*$CL$12)</f>
        <v>0</v>
      </c>
      <c r="CM493" s="130"/>
      <c r="CN493" s="123">
        <f>(CM493/12*2*$E493*$G493*$H493*$N493*$CN$11)+(CM493/12*10*$F493*$G493*$H493*$N493*$CN$11)</f>
        <v>0</v>
      </c>
      <c r="CO493" s="123"/>
      <c r="CP493" s="123">
        <f>(CO493/12*2*$E493*$G493*$H493*$N493*$CP$11)+(CO493/12*10*$F493*$G493*$H493*$N493*$CP$11)</f>
        <v>0</v>
      </c>
      <c r="CQ493" s="123"/>
      <c r="CR493" s="123">
        <f>(CQ493/12*2*$E493*$G493*$H493*$O493*$CR$11)+(CQ493/12*10*$F493*$G493*$H493*$O493*$CR$11)</f>
        <v>0</v>
      </c>
      <c r="CS493" s="123"/>
      <c r="CT493" s="133">
        <f>(CS493/12*2*$E493*$G493*$H493*$P493*$CT$11)+(CS493/12*10*$F493*$G493*$H493*$P493*$CT$11)</f>
        <v>0</v>
      </c>
      <c r="CU493" s="127"/>
      <c r="CV493" s="123">
        <f>(CU493*$E493*$G493*$H493*$M493*CV$11)/12*6+(CU493*$E493*$G493*$H493*1*CV$11)/12*6</f>
        <v>0</v>
      </c>
      <c r="CW493" s="126">
        <f t="shared" si="635"/>
        <v>200</v>
      </c>
      <c r="CX493" s="126">
        <f t="shared" si="635"/>
        <v>43435994.772240013</v>
      </c>
    </row>
    <row r="494" spans="1:102" ht="45" customHeight="1" x14ac:dyDescent="0.25">
      <c r="A494" s="91"/>
      <c r="B494" s="116">
        <v>415</v>
      </c>
      <c r="C494" s="117" t="s">
        <v>1106</v>
      </c>
      <c r="D494" s="161" t="s">
        <v>1107</v>
      </c>
      <c r="E494" s="95">
        <v>28004</v>
      </c>
      <c r="F494" s="96">
        <v>29405</v>
      </c>
      <c r="G494" s="107">
        <v>8.6</v>
      </c>
      <c r="H494" s="107">
        <v>1</v>
      </c>
      <c r="I494" s="108"/>
      <c r="J494" s="108"/>
      <c r="K494" s="108"/>
      <c r="L494" s="63"/>
      <c r="M494" s="120">
        <v>1.4</v>
      </c>
      <c r="N494" s="120">
        <v>1.68</v>
      </c>
      <c r="O494" s="120">
        <v>2.23</v>
      </c>
      <c r="P494" s="121">
        <v>2.57</v>
      </c>
      <c r="Q494" s="122">
        <v>1</v>
      </c>
      <c r="R494" s="123">
        <f>(Q494/12*2*$E494*$G494*$H494*$M494)+(Q494/12*10*$F494*$G494*$H494*$M494)</f>
        <v>351224.86</v>
      </c>
      <c r="S494" s="124">
        <v>14</v>
      </c>
      <c r="T494" s="125">
        <f>(S494/12*2*$E494*$G494*$H494*$M494)+(S494/12*10*$F494*$G494*$H494*$M494)</f>
        <v>4917148.04</v>
      </c>
      <c r="U494" s="123"/>
      <c r="V494" s="123">
        <f>(U494/12*2*$E494*$G494*$H494*$M494)+(U494/12*10*$F494*$G494*$H494*$M494)</f>
        <v>0</v>
      </c>
      <c r="W494" s="123"/>
      <c r="X494" s="123">
        <f>(W494/12*2*$E494*$G494*$H494*$M494)+(W494/12*10*$F494*$G494*$H494*$M494)</f>
        <v>0</v>
      </c>
      <c r="Y494" s="123"/>
      <c r="Z494" s="123">
        <f>(Y494/12*2*$E494*$G494*$H494*$M494)+(Y494/12*10*$F494*$G494*$H494*$M494)</f>
        <v>0</v>
      </c>
      <c r="AA494" s="123"/>
      <c r="AB494" s="123">
        <f>(AA494/12*2*$E494*$G494*$H494*$M494)+(AA494/12*10*$F494*$G494*$H494*$M494)</f>
        <v>0</v>
      </c>
      <c r="AC494" s="123"/>
      <c r="AD494" s="123"/>
      <c r="AE494" s="123"/>
      <c r="AF494" s="123">
        <f>(AE494/12*2*$E494*$G494*$H494*$M494)+(AE494/12*10*$F494*$G494*$H494*$M494)</f>
        <v>0</v>
      </c>
      <c r="AG494" s="123"/>
      <c r="AH494" s="123">
        <f>(AG494/12*2*$E494*$G494*$H494*$M494)+(AG494/12*10*$F494*$G494*$H494*$M494)</f>
        <v>0</v>
      </c>
      <c r="AI494" s="123"/>
      <c r="AJ494" s="123">
        <f>(AI494/12*2*$E494*$G494*$H494*$M494)+(AI494/12*10*$F494*$G494*$H494*$M494)</f>
        <v>0</v>
      </c>
      <c r="AK494" s="123"/>
      <c r="AL494" s="126">
        <f>(AK494/12*2*$E494*$G494*$H494*$N494)+(AK494/12*10*$F494*$G494*$H494*$N494)</f>
        <v>0</v>
      </c>
      <c r="AM494" s="132"/>
      <c r="AN494" s="123">
        <f>(AM494/12*2*$E494*$G494*$H494*$N494)+(AM494/12*10*$F494*$G494*$H494*$N494)</f>
        <v>0</v>
      </c>
      <c r="AO494" s="130"/>
      <c r="AP494" s="123">
        <f>(AO494/12*2*$E494*$G494*$H494*$N494)+(AO494/12*10*$F494*$G494*$H494*$N494)</f>
        <v>0</v>
      </c>
      <c r="AQ494" s="123">
        <v>0</v>
      </c>
      <c r="AR494" s="123">
        <v>0</v>
      </c>
      <c r="AS494" s="123"/>
      <c r="AT494" s="123"/>
      <c r="AU494" s="123"/>
      <c r="AV494" s="123"/>
      <c r="AW494" s="123"/>
      <c r="AX494" s="123">
        <f>(AW494/12*2*$E494*$G494*$H494*$M494)+(AW494/12*10*$F494*$G494*$H494*$M494)</f>
        <v>0</v>
      </c>
      <c r="AY494" s="123"/>
      <c r="AZ494" s="123">
        <f>(AY494/12*2*$E494*$G494*$H494*$N494)+(AY494/12*10*$F494*$G494*$H494*$N494)</f>
        <v>0</v>
      </c>
      <c r="BA494" s="123"/>
      <c r="BB494" s="123">
        <f>(BA494/12*2*$E494*$G494*$H494*$N494)+(BA494/12*10*$F494*$G494*$H494*$N494)</f>
        <v>0</v>
      </c>
      <c r="BC494" s="123"/>
      <c r="BD494" s="123">
        <f>(BC494/12*2*$E494*$G494*$H494*$N494)+(BC494/12*10*$F494*$G494*$H494*$N494)</f>
        <v>0</v>
      </c>
      <c r="BE494" s="123"/>
      <c r="BF494" s="123">
        <f>(BE494/12*10*$F494*$G494*$H494*$N494)</f>
        <v>0</v>
      </c>
      <c r="BG494" s="123"/>
      <c r="BH494" s="123">
        <f>(BG494/12*2*$E494*$G494*$H494*$N494)+(BG494/12*10*$F494*$G494*$H494*$N494)</f>
        <v>0</v>
      </c>
      <c r="BI494" s="123"/>
      <c r="BJ494" s="123">
        <f>(BI494/12*2*$E494*$G494*$H494*$N494)+(BI494/12*10*$F494*$G494*$H494*$N494)</f>
        <v>0</v>
      </c>
      <c r="BK494" s="123"/>
      <c r="BL494" s="123">
        <f>(BK494/12*2*$E494*$G494*$H494*$N494)+(BK494/12*10*$F494*$G494*$H494*$N494)</f>
        <v>0</v>
      </c>
      <c r="BM494" s="123"/>
      <c r="BN494" s="123">
        <f>(BM494/12*2*$E494*$G494*$H494*$M494)+(BM494/12*10*$F494*$G494*$H494*$M494)</f>
        <v>0</v>
      </c>
      <c r="BO494" s="123"/>
      <c r="BP494" s="123">
        <f>(BO494/12*2*$E494*$G494*$H494*$M494)+(BO494/12*10*$F494*$G494*$H494*$M494)</f>
        <v>0</v>
      </c>
      <c r="BQ494" s="123"/>
      <c r="BR494" s="123">
        <f>(BQ494/12*2*$E494*$G494*$H494*$M494)+(BQ494/12*10*$F494*$G494*$H494*$M494)</f>
        <v>0</v>
      </c>
      <c r="BS494" s="123"/>
      <c r="BT494" s="123">
        <f>(BS494/12*2*$E494*$G494*$H494*$N494)+(BS494/12*10*$F494*$G494*$H494*$N494)</f>
        <v>0</v>
      </c>
      <c r="BU494" s="123"/>
      <c r="BV494" s="123">
        <f>(BU494/12*2*$E494*$G494*$H494*$M494)+(BU494/12*10*$F494*$G494*$H494*$M494)</f>
        <v>0</v>
      </c>
      <c r="BW494" s="123"/>
      <c r="BX494" s="123">
        <f>(BW494/12*2*$E494*$G494*$H494*$M494)+(BW494/12*10*$F494*$G494*$H494*$M494)</f>
        <v>0</v>
      </c>
      <c r="BY494" s="123"/>
      <c r="BZ494" s="123">
        <f>(BY494/12*2*$E494*$G494*$H494*$M494)+(BY494/12*10*$F494*$G494*$H494*$M494)</f>
        <v>0</v>
      </c>
      <c r="CA494" s="123"/>
      <c r="CB494" s="123">
        <f>(CA494/12*2*$E494*$G494*$H494*$M494)+(CA494/12*10*$F494*$G494*$H494*$M494)</f>
        <v>0</v>
      </c>
      <c r="CC494" s="123"/>
      <c r="CD494" s="123">
        <f>(CC494/12*2*$E494*$G494*$H494*$M494)+(CC494/12*10*$F494*$G494*$H494*$M494)</f>
        <v>0</v>
      </c>
      <c r="CE494" s="123"/>
      <c r="CF494" s="123">
        <f>(CE494/12*10*$F494*$G494*$H494*$N494)</f>
        <v>0</v>
      </c>
      <c r="CG494" s="132"/>
      <c r="CH494" s="123">
        <f>(CG494/12*2*$E494*$G494*$H494*$N494)+(CG494/12*10*$F494*$G494*$H494*$N494)</f>
        <v>0</v>
      </c>
      <c r="CI494" s="123"/>
      <c r="CJ494" s="127">
        <f>(CI494*$E494*$G494*$H494*$N494)</f>
        <v>0</v>
      </c>
      <c r="CK494" s="123"/>
      <c r="CL494" s="123">
        <f>(CK494/12*2*$E494*$G494*$H494*$N494)+(CK494/12*10*$F494*$G494*$H494*$N494)</f>
        <v>0</v>
      </c>
      <c r="CM494" s="130"/>
      <c r="CN494" s="123">
        <f>(CM494/12*2*$E494*$G494*$H494*$N494)+(CM494/12*10*$F494*$G494*$H494*$N494)</f>
        <v>0</v>
      </c>
      <c r="CO494" s="123"/>
      <c r="CP494" s="123">
        <f>(CO494/12*2*$E494*$G494*$H494*$N494)+(CO494/12*10*$F494*$G494*$H494*$N494)</f>
        <v>0</v>
      </c>
      <c r="CQ494" s="123"/>
      <c r="CR494" s="123">
        <f>(CQ494/12*2*$E494*$G494*$H494*$O494)+(CQ494/12*10*$F494*$G494*$H494*$O494)</f>
        <v>0</v>
      </c>
      <c r="CS494" s="123"/>
      <c r="CT494" s="127">
        <f>(CS494/12*2*$E494*$G494*$H494*$P494)+(CS494/12*10*$F494*$G494*$H494*$P494)</f>
        <v>0</v>
      </c>
      <c r="CU494" s="127"/>
      <c r="CV494" s="127"/>
      <c r="CW494" s="126">
        <f>SUM(Q494,S494,U494,W494,Y494,AA494,AC494,AE494,AG494,AM494,BQ494,AI494,AU494,CC494,AW494,AY494,AK494,BC494,AO494,AQ494,BE494,CE494,BG494,BI494,BK494,BS494,BM494,BO494,BU494,BW494,BY494,CA494,CG494,BA494,AS494,CI494,CK494,CM494,CO494,CQ494,CS494,CU494)</f>
        <v>15</v>
      </c>
      <c r="CX494" s="126">
        <f>SUM(R494,T494,V494,X494,Z494,AB494,AD494,AF494,AH494,AN494,BR494,AJ494,AV494,CD494,AX494,AZ494,AL494,BD494,AP494,AR494,BF494,CF494,BH494,BJ494,BL494,BT494,BN494,BP494,BV494,BX494,BZ494,CB494,CH494,BB494,AT494,CJ494,CL494,CN494,CP494,CR494,CT494,CV494)</f>
        <v>5268372.9000000004</v>
      </c>
    </row>
    <row r="495" spans="1:102" ht="60" customHeight="1" x14ac:dyDescent="0.25">
      <c r="A495" s="91"/>
      <c r="B495" s="116">
        <v>416</v>
      </c>
      <c r="C495" s="117" t="s">
        <v>1108</v>
      </c>
      <c r="D495" s="161" t="s">
        <v>1109</v>
      </c>
      <c r="E495" s="95">
        <v>28004</v>
      </c>
      <c r="F495" s="96">
        <v>29405</v>
      </c>
      <c r="G495" s="119">
        <v>1.24</v>
      </c>
      <c r="H495" s="107">
        <v>1</v>
      </c>
      <c r="I495" s="108"/>
      <c r="J495" s="108"/>
      <c r="K495" s="108"/>
      <c r="L495" s="63"/>
      <c r="M495" s="120">
        <v>1.4</v>
      </c>
      <c r="N495" s="120">
        <v>1.68</v>
      </c>
      <c r="O495" s="120">
        <v>2.23</v>
      </c>
      <c r="P495" s="121">
        <v>2.57</v>
      </c>
      <c r="Q495" s="122">
        <v>50</v>
      </c>
      <c r="R495" s="123">
        <f t="shared" ref="R495:R513" si="636">(Q495/12*2*$E495*$G495*$H495*$M495*$R$11)+(Q495/12*10*$F495*$G495*$H495*$M495*$R$11)</f>
        <v>2785294.8200000008</v>
      </c>
      <c r="S495" s="124"/>
      <c r="T495" s="125">
        <f t="shared" ref="T495:T513" si="637">(S495/12*2*$E495*$G495*$H495*$M495*$R$11)+(S495/12*10*$F495*$G495*$H495*$M495*$R$11)</f>
        <v>0</v>
      </c>
      <c r="U495" s="123"/>
      <c r="V495" s="123">
        <f>(U495/12*2*$E495*$G495*$H495*$M495*$V$11)+(U495/12*10*$F495*$G495*$H495*$M495*$V$12)</f>
        <v>0</v>
      </c>
      <c r="W495" s="123"/>
      <c r="X495" s="126">
        <f t="shared" ref="X495:X512" si="638">(W495/12*2*$E495*$G495*$H495*$M495*$X$11)+(W495/12*10*$F495*$G495*$H495*$M495*$X$12)</f>
        <v>0</v>
      </c>
      <c r="Y495" s="123"/>
      <c r="Z495" s="123">
        <f t="shared" ref="Z495:Z512" si="639">(Y495/12*2*$E495*$G495*$H495*$M495*$Z$11)+(Y495/12*10*$F495*$G495*$H495*$M495*$Z$12)</f>
        <v>0</v>
      </c>
      <c r="AA495" s="123"/>
      <c r="AB495" s="123">
        <f t="shared" ref="AB495:AB512" si="640">(AA495/12*2*$E495*$G495*$H495*$M495*$AB$11)+(AA495/12*10*$F495*$G495*$H495*$M495*$AB$11)</f>
        <v>0</v>
      </c>
      <c r="AC495" s="123"/>
      <c r="AD495" s="123"/>
      <c r="AE495" s="123"/>
      <c r="AF495" s="123">
        <f t="shared" ref="AF495:AF513" si="641">(AE495/12*2*$E495*$G495*$H495*$M495*$AF$11)+(AE495/12*10*$F495*$G495*$H495*$M495*$AF$11)</f>
        <v>0</v>
      </c>
      <c r="AG495" s="123"/>
      <c r="AH495" s="126">
        <f t="shared" ref="AH495:AH513" si="642">(AG495/12*2*$E495*$G495*$H495*$M495*$AH$11)+(AG495/12*10*$F495*$G495*$H495*$M495*$AH$11)</f>
        <v>0</v>
      </c>
      <c r="AI495" s="123"/>
      <c r="AJ495" s="123">
        <f t="shared" ref="AJ495:AJ513" si="643">(AI495/12*2*$E495*$G495*$H495*$M495*$AJ$11)+(AI495/12*5*$F495*$G495*$H495*$M495*$AJ$12)+(AI495/12*5*$F495*$G495*$H495*$M495*$AJ$13)</f>
        <v>0</v>
      </c>
      <c r="AK495" s="123"/>
      <c r="AL495" s="123">
        <f t="shared" ref="AL495:AL513" si="644">(AK495/12*2*$E495*$G495*$H495*$N495*$AL$11)+(AK495/12*5*$F495*$G495*$H495*$N495*$AL$12)++(AK495/12*5*$F495*$G495*$H495*$N495*$AL$13)</f>
        <v>0</v>
      </c>
      <c r="AM495" s="132"/>
      <c r="AN495" s="123">
        <f t="shared" ref="AN495:AN513" si="645">(AM495/12*2*$E495*$G495*$H495*$N495*$AN$11)+(AM495/12*10*$F495*$G495*$H495*$N495*$AN$12)</f>
        <v>0</v>
      </c>
      <c r="AO495" s="130"/>
      <c r="AP495" s="127">
        <f t="shared" ref="AP495:AP513" si="646">(AO495/12*2*$E495*$G495*$H495*$N495*$AP$11)+(AO495/12*10*$F495*$G495*$H495*$N495*$AP$11)</f>
        <v>0</v>
      </c>
      <c r="AQ495" s="127">
        <v>0</v>
      </c>
      <c r="AR495" s="127">
        <v>0</v>
      </c>
      <c r="AS495" s="123">
        <v>180</v>
      </c>
      <c r="AT495" s="123">
        <f t="shared" ref="AT495:AT513" si="647">(AS495/12*2*$E495*$G495*$H495*$M495*$AT$11)+(AS495/12*10*$F495*$G495*$H495*$M495*$AT$11)</f>
        <v>8203959.2879999988</v>
      </c>
      <c r="AU495" s="123"/>
      <c r="AV495" s="126">
        <f t="shared" ref="AV495:AV512" si="648">(AU495/12*2*$E495*$G495*$H495*$M495*$AV$11)+(AU495/12*10*$F495*$G495*$H495*$M495*$AV$12)</f>
        <v>0</v>
      </c>
      <c r="AW495" s="123"/>
      <c r="AX495" s="123">
        <f t="shared" ref="AX495:AX512" si="649">(AW495/12*2*$E495*$G495*$H495*$M495*$AX$11)+(AW495/12*10*$F495*$G495*$H495*$M495*$AX$12)</f>
        <v>0</v>
      </c>
      <c r="AY495" s="123"/>
      <c r="AZ495" s="123">
        <f t="shared" ref="AZ495:AZ513" si="650">(AY495/12*2*$E495*$G495*$H495*$N495*$AZ$11)+(AY495/12*10*$F495*$G495*$H495*$N495*$AZ$11)</f>
        <v>0</v>
      </c>
      <c r="BA495" s="123"/>
      <c r="BB495" s="123">
        <f t="shared" ref="BB495:BB513" si="651">(BA495/12*2*$E495*$G495*$H495*$N495*$BB$11)+(BA495/12*10*$F495*$G495*$H495*$N495*$BB$12)</f>
        <v>0</v>
      </c>
      <c r="BC495" s="123"/>
      <c r="BD495" s="126">
        <f t="shared" ref="BD495:BD513" si="652">(BC495/12*2*$E495*$G495*$H495*$N495*$BD$11)+(BC495/12*10*$F495*$G495*$H495*$N495*$BD$12)</f>
        <v>0</v>
      </c>
      <c r="BE495" s="123"/>
      <c r="BF495" s="123">
        <f t="shared" ref="BF495:BF513" si="653">(BE495/12*10*$F495*$G495*$H495*$N495*$BF$12)</f>
        <v>0</v>
      </c>
      <c r="BG495" s="123"/>
      <c r="BH495" s="123">
        <f t="shared" ref="BH495:BH513" si="654">(BG495/12*2*$E495*$G495*$H495*$N495*$BH$11)+(BG495/12*10*$F495*$G495*$H495*$N495*$BH$11)</f>
        <v>0</v>
      </c>
      <c r="BI495" s="123"/>
      <c r="BJ495" s="126">
        <f t="shared" ref="BJ495:BJ513" si="655">(BI495/12*2*$E495*$G495*$H495*$N495*$BJ$11)+(BI495/12*10*$F495*$G495*$H495*$N495*$BJ$11)</f>
        <v>0</v>
      </c>
      <c r="BK495" s="123"/>
      <c r="BL495" s="127">
        <f t="shared" ref="BL495:BL513" si="656">(BK495/12*2*$E495*$G495*$H495*$N495*$BL$11)+(BK495/12*10*$F495*$G495*$H495*$N495*$BL$11)</f>
        <v>0</v>
      </c>
      <c r="BM495" s="123"/>
      <c r="BN495" s="123">
        <f t="shared" ref="BN495:BN513" si="657">(BM495/12*2*$E495*$G495*$H495*$M495*$BN$11)+(BM495/12*10*$F495*$G495*$H495*$M495*$BN$11)</f>
        <v>0</v>
      </c>
      <c r="BO495" s="123"/>
      <c r="BP495" s="123">
        <f t="shared" ref="BP495:BP512" si="658">(BO495/12*2*$E495*$G495*$H495*$M495*$BP$11)+(BO495/12*10*$F495*$G495*$H495*$M495*$BP$12)</f>
        <v>0</v>
      </c>
      <c r="BQ495" s="123"/>
      <c r="BR495" s="123">
        <f t="shared" ref="BR495:BR513" si="659">(BQ495/12*2*$E495*$G495*$H495*$M495*$BR$11)+(BQ495/12*10*$F495*$G495*$H495*$M495*$BR$11)</f>
        <v>0</v>
      </c>
      <c r="BS495" s="123"/>
      <c r="BT495" s="123">
        <f t="shared" ref="BT495:BT513" si="660">(BS495/12*2*$E495*$G495*$H495*$N495*$BT$11)+(BS495/12*10*$F495*$G495*$H495*$N495*$BT$11)</f>
        <v>0</v>
      </c>
      <c r="BU495" s="123"/>
      <c r="BV495" s="126">
        <f t="shared" ref="BV495:BV513" si="661">(BU495/12*2*$E495*$G495*$H495*$M495*$BV$11)+(BU495/12*10*$F495*$G495*$H495*$M495*$BV$11)</f>
        <v>0</v>
      </c>
      <c r="BW495" s="123"/>
      <c r="BX495" s="123">
        <f t="shared" ref="BX495:BX513" si="662">(BW495/12*2*$E495*$G495*$H495*$M495*$BX$11)+(BW495/12*10*$F495*$G495*$H495*$M495*$BX$11)</f>
        <v>0</v>
      </c>
      <c r="BY495" s="123"/>
      <c r="BZ495" s="123">
        <f t="shared" ref="BZ495:BZ513" si="663">(BY495/12*2*$E495*$G495*$H495*$M495*$BZ$11)+(BY495/12*10*$F495*$G495*$H495*$M495*$BZ$11)</f>
        <v>0</v>
      </c>
      <c r="CA495" s="123"/>
      <c r="CB495" s="123">
        <f t="shared" ref="CB495:CB513" si="664">(CA495/12*2*$E495*$G495*$H495*$M495*$CB$11)+(CA495/12*10*$F495*$G495*$H495*$M495*$CB$11)</f>
        <v>0</v>
      </c>
      <c r="CC495" s="123"/>
      <c r="CD495" s="123">
        <f t="shared" ref="CD495:CD512" si="665">(CC495/12*2*$E495*$G495*$H495*$M495*$CD$11)+(CC495/12*10*$F495*$G495*$H495*$M495*$CD$11)</f>
        <v>0</v>
      </c>
      <c r="CE495" s="123"/>
      <c r="CF495" s="123">
        <f t="shared" ref="CF495:CF513" si="666">(CE495/12*10*$F495*$G495*$H495*$N495*$CF$11)</f>
        <v>0</v>
      </c>
      <c r="CG495" s="132"/>
      <c r="CH495" s="123">
        <f t="shared" ref="CH495:CH512" si="667">(CG495/12*2*$E495*$G495*$H495*$N495*$CH$11)+(CG495/12*10*$F495*$G495*$H495*$N495*$CH$11)</f>
        <v>0</v>
      </c>
      <c r="CI495" s="123"/>
      <c r="CJ495" s="127"/>
      <c r="CK495" s="123"/>
      <c r="CL495" s="123">
        <f t="shared" ref="CL495:CL512" si="668">(CK495/12*2*$E495*$G495*$H495*$N495*$CL$11)+(CK495/12*10*$F495*$G495*$H495*$N495*$CL$12)</f>
        <v>0</v>
      </c>
      <c r="CM495" s="130"/>
      <c r="CN495" s="123">
        <f t="shared" ref="CN495:CN513" si="669">(CM495/12*2*$E495*$G495*$H495*$N495*$CN$11)+(CM495/12*10*$F495*$G495*$H495*$N495*$CN$11)</f>
        <v>0</v>
      </c>
      <c r="CO495" s="123"/>
      <c r="CP495" s="123">
        <f t="shared" ref="CP495:CP513" si="670">(CO495/12*2*$E495*$G495*$H495*$N495*$CP$11)+(CO495/12*10*$F495*$G495*$H495*$N495*$CP$11)</f>
        <v>0</v>
      </c>
      <c r="CQ495" s="123"/>
      <c r="CR495" s="123">
        <f t="shared" ref="CR495:CR513" si="671">(CQ495/12*2*$E495*$G495*$H495*$O495*$CR$11)+(CQ495/12*10*$F495*$G495*$H495*$O495*$CR$11)</f>
        <v>0</v>
      </c>
      <c r="CS495" s="123"/>
      <c r="CT495" s="133">
        <f t="shared" ref="CT495:CT511" si="672">(CS495/12*2*$E495*$G495*$H495*$P495*$CT$11)+(CS495/12*10*$F495*$G495*$H495*$P495*$CT$11)</f>
        <v>0</v>
      </c>
      <c r="CU495" s="127"/>
      <c r="CV495" s="123">
        <f t="shared" ref="CV495:CV513" si="673">(CU495*$E495*$G495*$H495*$M495*CV$11)/12*6+(CU495*$E495*$G495*$H495*1*CV$11)/12*6</f>
        <v>0</v>
      </c>
      <c r="CW495" s="126">
        <f t="shared" ref="CW495:CX513" si="674">SUM(Q495,S495,U495,W495,Y495,AA495,AC495,AE495,AG495,AM495,BQ495,AI495,AU495,CC495,AW495,AY495,AK495,BC495,AO495,AQ495,BE495,CE495,BG495,BI495,BK495,BS495,BM495,BO495,BU495,BW495,BY495,CA495,CG495,BA495,AS495,CI495,CK495,CM495,CO495,CQ495,CS495,CU495)</f>
        <v>230</v>
      </c>
      <c r="CX495" s="126">
        <f t="shared" si="674"/>
        <v>10989254.107999999</v>
      </c>
    </row>
    <row r="496" spans="1:102" ht="60" customHeight="1" x14ac:dyDescent="0.25">
      <c r="A496" s="91"/>
      <c r="B496" s="116">
        <v>417</v>
      </c>
      <c r="C496" s="117" t="s">
        <v>1110</v>
      </c>
      <c r="D496" s="161" t="s">
        <v>1111</v>
      </c>
      <c r="E496" s="95">
        <v>28004</v>
      </c>
      <c r="F496" s="96">
        <v>29405</v>
      </c>
      <c r="G496" s="119">
        <v>2.62</v>
      </c>
      <c r="H496" s="107">
        <v>1</v>
      </c>
      <c r="I496" s="108"/>
      <c r="J496" s="108"/>
      <c r="K496" s="108"/>
      <c r="L496" s="63"/>
      <c r="M496" s="120">
        <v>1.4</v>
      </c>
      <c r="N496" s="120">
        <v>1.68</v>
      </c>
      <c r="O496" s="120">
        <v>2.23</v>
      </c>
      <c r="P496" s="121">
        <v>2.57</v>
      </c>
      <c r="Q496" s="122">
        <v>106</v>
      </c>
      <c r="R496" s="123">
        <f t="shared" si="636"/>
        <v>12476323.829200001</v>
      </c>
      <c r="S496" s="124">
        <v>4</v>
      </c>
      <c r="T496" s="125">
        <f t="shared" si="637"/>
        <v>470804.6728</v>
      </c>
      <c r="U496" s="123"/>
      <c r="V496" s="123">
        <f t="shared" ref="V496:V513" si="675">(U496/12*2*$E496*$G496*$H496*$M496*$V$11)+(U496/12*10*$F496*$G496*$H496*$M496*$V$12)</f>
        <v>0</v>
      </c>
      <c r="W496" s="123"/>
      <c r="X496" s="126">
        <f>(W496/12*2*$E496*$G496*$H496*$M496*$X$11)+(W496/12*10*$F496*$G496*$H496*$M496*$X$12)</f>
        <v>0</v>
      </c>
      <c r="Y496" s="123"/>
      <c r="Z496" s="123">
        <f t="shared" si="639"/>
        <v>0</v>
      </c>
      <c r="AA496" s="123"/>
      <c r="AB496" s="123">
        <f t="shared" si="640"/>
        <v>0</v>
      </c>
      <c r="AC496" s="123"/>
      <c r="AD496" s="123"/>
      <c r="AE496" s="123"/>
      <c r="AF496" s="123">
        <f t="shared" si="641"/>
        <v>0</v>
      </c>
      <c r="AG496" s="123"/>
      <c r="AH496" s="126">
        <f t="shared" si="642"/>
        <v>0</v>
      </c>
      <c r="AI496" s="123"/>
      <c r="AJ496" s="123">
        <f t="shared" si="643"/>
        <v>0</v>
      </c>
      <c r="AK496" s="123"/>
      <c r="AL496" s="123">
        <f t="shared" si="644"/>
        <v>0</v>
      </c>
      <c r="AM496" s="132"/>
      <c r="AN496" s="123">
        <f t="shared" si="645"/>
        <v>0</v>
      </c>
      <c r="AO496" s="130"/>
      <c r="AP496" s="127">
        <f t="shared" si="646"/>
        <v>0</v>
      </c>
      <c r="AQ496" s="127">
        <v>0</v>
      </c>
      <c r="AR496" s="127">
        <v>0</v>
      </c>
      <c r="AS496" s="123">
        <v>50</v>
      </c>
      <c r="AT496" s="123">
        <f t="shared" si="647"/>
        <v>4815047.790000001</v>
      </c>
      <c r="AU496" s="123"/>
      <c r="AV496" s="126">
        <f t="shared" si="648"/>
        <v>0</v>
      </c>
      <c r="AW496" s="123"/>
      <c r="AX496" s="123">
        <f t="shared" si="649"/>
        <v>0</v>
      </c>
      <c r="AY496" s="123"/>
      <c r="AZ496" s="123">
        <f t="shared" si="650"/>
        <v>0</v>
      </c>
      <c r="BA496" s="123"/>
      <c r="BB496" s="123">
        <f t="shared" si="651"/>
        <v>0</v>
      </c>
      <c r="BC496" s="123"/>
      <c r="BD496" s="126">
        <f t="shared" si="652"/>
        <v>0</v>
      </c>
      <c r="BE496" s="123"/>
      <c r="BF496" s="123">
        <f t="shared" si="653"/>
        <v>0</v>
      </c>
      <c r="BG496" s="123"/>
      <c r="BH496" s="123">
        <f t="shared" si="654"/>
        <v>0</v>
      </c>
      <c r="BI496" s="123"/>
      <c r="BJ496" s="126">
        <f t="shared" si="655"/>
        <v>0</v>
      </c>
      <c r="BK496" s="123"/>
      <c r="BL496" s="127">
        <f t="shared" si="656"/>
        <v>0</v>
      </c>
      <c r="BM496" s="123"/>
      <c r="BN496" s="123">
        <f t="shared" si="657"/>
        <v>0</v>
      </c>
      <c r="BO496" s="123"/>
      <c r="BP496" s="123">
        <f t="shared" si="658"/>
        <v>0</v>
      </c>
      <c r="BQ496" s="123"/>
      <c r="BR496" s="123">
        <f t="shared" si="659"/>
        <v>0</v>
      </c>
      <c r="BS496" s="123"/>
      <c r="BT496" s="123">
        <f t="shared" si="660"/>
        <v>0</v>
      </c>
      <c r="BU496" s="123"/>
      <c r="BV496" s="126">
        <f t="shared" si="661"/>
        <v>0</v>
      </c>
      <c r="BW496" s="123"/>
      <c r="BX496" s="123">
        <f t="shared" si="662"/>
        <v>0</v>
      </c>
      <c r="BY496" s="123"/>
      <c r="BZ496" s="123">
        <f t="shared" si="663"/>
        <v>0</v>
      </c>
      <c r="CA496" s="123"/>
      <c r="CB496" s="123">
        <f t="shared" si="664"/>
        <v>0</v>
      </c>
      <c r="CC496" s="123"/>
      <c r="CD496" s="123">
        <f t="shared" si="665"/>
        <v>0</v>
      </c>
      <c r="CE496" s="123"/>
      <c r="CF496" s="123">
        <f t="shared" si="666"/>
        <v>0</v>
      </c>
      <c r="CG496" s="132"/>
      <c r="CH496" s="123">
        <f t="shared" si="667"/>
        <v>0</v>
      </c>
      <c r="CI496" s="123"/>
      <c r="CJ496" s="127"/>
      <c r="CK496" s="123"/>
      <c r="CL496" s="123">
        <f t="shared" si="668"/>
        <v>0</v>
      </c>
      <c r="CM496" s="130"/>
      <c r="CN496" s="123">
        <f t="shared" si="669"/>
        <v>0</v>
      </c>
      <c r="CO496" s="123"/>
      <c r="CP496" s="123">
        <f t="shared" si="670"/>
        <v>0</v>
      </c>
      <c r="CQ496" s="123"/>
      <c r="CR496" s="123">
        <f t="shared" si="671"/>
        <v>0</v>
      </c>
      <c r="CS496" s="123"/>
      <c r="CT496" s="133">
        <f t="shared" si="672"/>
        <v>0</v>
      </c>
      <c r="CU496" s="127"/>
      <c r="CV496" s="123">
        <f t="shared" si="673"/>
        <v>0</v>
      </c>
      <c r="CW496" s="126">
        <f t="shared" si="674"/>
        <v>160</v>
      </c>
      <c r="CX496" s="126">
        <f t="shared" si="674"/>
        <v>17762176.292000003</v>
      </c>
    </row>
    <row r="497" spans="1:102" ht="60" customHeight="1" x14ac:dyDescent="0.25">
      <c r="A497" s="91"/>
      <c r="B497" s="116">
        <v>418</v>
      </c>
      <c r="C497" s="117" t="s">
        <v>1112</v>
      </c>
      <c r="D497" s="161" t="s">
        <v>1113</v>
      </c>
      <c r="E497" s="95">
        <v>28004</v>
      </c>
      <c r="F497" s="96">
        <v>29405</v>
      </c>
      <c r="G497" s="119">
        <v>3.93</v>
      </c>
      <c r="H497" s="107">
        <v>1</v>
      </c>
      <c r="I497" s="108"/>
      <c r="J497" s="108"/>
      <c r="K497" s="108"/>
      <c r="L497" s="63"/>
      <c r="M497" s="120">
        <v>1.4</v>
      </c>
      <c r="N497" s="120">
        <v>1.68</v>
      </c>
      <c r="O497" s="120">
        <v>2.23</v>
      </c>
      <c r="P497" s="121">
        <v>2.57</v>
      </c>
      <c r="Q497" s="122">
        <v>10</v>
      </c>
      <c r="R497" s="123">
        <f t="shared" si="636"/>
        <v>1765517.523</v>
      </c>
      <c r="S497" s="124"/>
      <c r="T497" s="125">
        <f t="shared" si="637"/>
        <v>0</v>
      </c>
      <c r="U497" s="123"/>
      <c r="V497" s="123">
        <f t="shared" si="675"/>
        <v>0</v>
      </c>
      <c r="W497" s="123"/>
      <c r="X497" s="126">
        <f t="shared" si="638"/>
        <v>0</v>
      </c>
      <c r="Y497" s="123"/>
      <c r="Z497" s="123">
        <f t="shared" si="639"/>
        <v>0</v>
      </c>
      <c r="AA497" s="123"/>
      <c r="AB497" s="123">
        <f t="shared" si="640"/>
        <v>0</v>
      </c>
      <c r="AC497" s="123"/>
      <c r="AD497" s="123"/>
      <c r="AE497" s="123"/>
      <c r="AF497" s="123">
        <f t="shared" si="641"/>
        <v>0</v>
      </c>
      <c r="AG497" s="123"/>
      <c r="AH497" s="126">
        <f t="shared" si="642"/>
        <v>0</v>
      </c>
      <c r="AI497" s="123"/>
      <c r="AJ497" s="123">
        <f t="shared" si="643"/>
        <v>0</v>
      </c>
      <c r="AK497" s="123"/>
      <c r="AL497" s="123">
        <f t="shared" si="644"/>
        <v>0</v>
      </c>
      <c r="AM497" s="132"/>
      <c r="AN497" s="123">
        <f t="shared" si="645"/>
        <v>0</v>
      </c>
      <c r="AO497" s="130"/>
      <c r="AP497" s="127">
        <f t="shared" si="646"/>
        <v>0</v>
      </c>
      <c r="AQ497" s="127">
        <v>0</v>
      </c>
      <c r="AR497" s="127">
        <v>0</v>
      </c>
      <c r="AS497" s="123">
        <v>10</v>
      </c>
      <c r="AT497" s="123">
        <f t="shared" si="647"/>
        <v>1444514.3369999998</v>
      </c>
      <c r="AU497" s="123"/>
      <c r="AV497" s="126">
        <f t="shared" si="648"/>
        <v>0</v>
      </c>
      <c r="AW497" s="123"/>
      <c r="AX497" s="123">
        <f t="shared" si="649"/>
        <v>0</v>
      </c>
      <c r="AY497" s="123"/>
      <c r="AZ497" s="123">
        <f t="shared" si="650"/>
        <v>0</v>
      </c>
      <c r="BA497" s="123"/>
      <c r="BB497" s="123">
        <f t="shared" si="651"/>
        <v>0</v>
      </c>
      <c r="BC497" s="123"/>
      <c r="BD497" s="126">
        <f t="shared" si="652"/>
        <v>0</v>
      </c>
      <c r="BE497" s="123"/>
      <c r="BF497" s="123">
        <f t="shared" si="653"/>
        <v>0</v>
      </c>
      <c r="BG497" s="123"/>
      <c r="BH497" s="123">
        <f t="shared" si="654"/>
        <v>0</v>
      </c>
      <c r="BI497" s="123"/>
      <c r="BJ497" s="126">
        <f t="shared" si="655"/>
        <v>0</v>
      </c>
      <c r="BK497" s="123"/>
      <c r="BL497" s="127">
        <f t="shared" si="656"/>
        <v>0</v>
      </c>
      <c r="BM497" s="123"/>
      <c r="BN497" s="123">
        <f t="shared" si="657"/>
        <v>0</v>
      </c>
      <c r="BO497" s="123"/>
      <c r="BP497" s="123">
        <f t="shared" si="658"/>
        <v>0</v>
      </c>
      <c r="BQ497" s="123"/>
      <c r="BR497" s="123">
        <f t="shared" si="659"/>
        <v>0</v>
      </c>
      <c r="BS497" s="123"/>
      <c r="BT497" s="123">
        <f t="shared" si="660"/>
        <v>0</v>
      </c>
      <c r="BU497" s="123"/>
      <c r="BV497" s="126">
        <f t="shared" si="661"/>
        <v>0</v>
      </c>
      <c r="BW497" s="123"/>
      <c r="BX497" s="123">
        <f t="shared" si="662"/>
        <v>0</v>
      </c>
      <c r="BY497" s="123"/>
      <c r="BZ497" s="123">
        <f t="shared" si="663"/>
        <v>0</v>
      </c>
      <c r="CA497" s="123"/>
      <c r="CB497" s="123">
        <f t="shared" si="664"/>
        <v>0</v>
      </c>
      <c r="CC497" s="123"/>
      <c r="CD497" s="123">
        <f t="shared" si="665"/>
        <v>0</v>
      </c>
      <c r="CE497" s="123"/>
      <c r="CF497" s="123">
        <f t="shared" si="666"/>
        <v>0</v>
      </c>
      <c r="CG497" s="132">
        <v>0</v>
      </c>
      <c r="CH497" s="123">
        <f t="shared" si="667"/>
        <v>0</v>
      </c>
      <c r="CI497" s="123"/>
      <c r="CJ497" s="127"/>
      <c r="CK497" s="123"/>
      <c r="CL497" s="123">
        <f t="shared" si="668"/>
        <v>0</v>
      </c>
      <c r="CM497" s="130"/>
      <c r="CN497" s="123">
        <f t="shared" si="669"/>
        <v>0</v>
      </c>
      <c r="CO497" s="123"/>
      <c r="CP497" s="123">
        <f t="shared" si="670"/>
        <v>0</v>
      </c>
      <c r="CQ497" s="123"/>
      <c r="CR497" s="123">
        <f t="shared" si="671"/>
        <v>0</v>
      </c>
      <c r="CS497" s="123"/>
      <c r="CT497" s="133">
        <f t="shared" si="672"/>
        <v>0</v>
      </c>
      <c r="CU497" s="127"/>
      <c r="CV497" s="123">
        <f t="shared" si="673"/>
        <v>0</v>
      </c>
      <c r="CW497" s="126">
        <f t="shared" si="674"/>
        <v>20</v>
      </c>
      <c r="CX497" s="126">
        <f t="shared" si="674"/>
        <v>3210031.86</v>
      </c>
    </row>
    <row r="498" spans="1:102" ht="30" customHeight="1" x14ac:dyDescent="0.25">
      <c r="A498" s="91"/>
      <c r="B498" s="116">
        <v>419</v>
      </c>
      <c r="C498" s="117" t="s">
        <v>1114</v>
      </c>
      <c r="D498" s="161" t="s">
        <v>1115</v>
      </c>
      <c r="E498" s="95">
        <v>28004</v>
      </c>
      <c r="F498" s="96">
        <v>29405</v>
      </c>
      <c r="G498" s="119">
        <v>1.02</v>
      </c>
      <c r="H498" s="107">
        <v>1</v>
      </c>
      <c r="I498" s="108"/>
      <c r="J498" s="108"/>
      <c r="K498" s="108"/>
      <c r="L498" s="63"/>
      <c r="M498" s="120">
        <v>1.4</v>
      </c>
      <c r="N498" s="120">
        <v>1.68</v>
      </c>
      <c r="O498" s="120">
        <v>2.23</v>
      </c>
      <c r="P498" s="121">
        <v>2.57</v>
      </c>
      <c r="Q498" s="122">
        <v>40</v>
      </c>
      <c r="R498" s="123">
        <f t="shared" si="636"/>
        <v>1832903.6880000001</v>
      </c>
      <c r="S498" s="124"/>
      <c r="T498" s="125">
        <f t="shared" si="637"/>
        <v>0</v>
      </c>
      <c r="U498" s="123"/>
      <c r="V498" s="123">
        <f t="shared" si="675"/>
        <v>0</v>
      </c>
      <c r="W498" s="123"/>
      <c r="X498" s="126">
        <f t="shared" si="638"/>
        <v>0</v>
      </c>
      <c r="Y498" s="123"/>
      <c r="Z498" s="123">
        <f t="shared" si="639"/>
        <v>0</v>
      </c>
      <c r="AA498" s="123"/>
      <c r="AB498" s="123">
        <f t="shared" si="640"/>
        <v>0</v>
      </c>
      <c r="AC498" s="123"/>
      <c r="AD498" s="123"/>
      <c r="AE498" s="123"/>
      <c r="AF498" s="123">
        <f t="shared" si="641"/>
        <v>0</v>
      </c>
      <c r="AG498" s="123"/>
      <c r="AH498" s="126">
        <f t="shared" si="642"/>
        <v>0</v>
      </c>
      <c r="AI498" s="123"/>
      <c r="AJ498" s="123">
        <f t="shared" si="643"/>
        <v>0</v>
      </c>
      <c r="AK498" s="123"/>
      <c r="AL498" s="123">
        <f t="shared" si="644"/>
        <v>0</v>
      </c>
      <c r="AM498" s="132"/>
      <c r="AN498" s="123">
        <f t="shared" si="645"/>
        <v>0</v>
      </c>
      <c r="AO498" s="130"/>
      <c r="AP498" s="127">
        <f t="shared" si="646"/>
        <v>0</v>
      </c>
      <c r="AQ498" s="127">
        <v>0</v>
      </c>
      <c r="AR498" s="127">
        <v>0</v>
      </c>
      <c r="AS498" s="123">
        <v>10</v>
      </c>
      <c r="AT498" s="123">
        <f t="shared" si="647"/>
        <v>374912.11800000002</v>
      </c>
      <c r="AU498" s="123"/>
      <c r="AV498" s="126">
        <f t="shared" si="648"/>
        <v>0</v>
      </c>
      <c r="AW498" s="123"/>
      <c r="AX498" s="123">
        <f t="shared" si="649"/>
        <v>0</v>
      </c>
      <c r="AY498" s="123"/>
      <c r="AZ498" s="123">
        <f t="shared" si="650"/>
        <v>0</v>
      </c>
      <c r="BA498" s="123"/>
      <c r="BB498" s="123">
        <f t="shared" si="651"/>
        <v>0</v>
      </c>
      <c r="BC498" s="123"/>
      <c r="BD498" s="126">
        <f t="shared" si="652"/>
        <v>0</v>
      </c>
      <c r="BE498" s="123"/>
      <c r="BF498" s="123">
        <f t="shared" si="653"/>
        <v>0</v>
      </c>
      <c r="BG498" s="123"/>
      <c r="BH498" s="123">
        <f t="shared" si="654"/>
        <v>0</v>
      </c>
      <c r="BI498" s="123"/>
      <c r="BJ498" s="126">
        <f t="shared" si="655"/>
        <v>0</v>
      </c>
      <c r="BK498" s="123"/>
      <c r="BL498" s="127">
        <f t="shared" si="656"/>
        <v>0</v>
      </c>
      <c r="BM498" s="123"/>
      <c r="BN498" s="123">
        <f t="shared" si="657"/>
        <v>0</v>
      </c>
      <c r="BO498" s="123"/>
      <c r="BP498" s="123">
        <f t="shared" si="658"/>
        <v>0</v>
      </c>
      <c r="BQ498" s="123"/>
      <c r="BR498" s="123">
        <f t="shared" si="659"/>
        <v>0</v>
      </c>
      <c r="BS498" s="123"/>
      <c r="BT498" s="123">
        <f t="shared" si="660"/>
        <v>0</v>
      </c>
      <c r="BU498" s="123"/>
      <c r="BV498" s="126">
        <f t="shared" si="661"/>
        <v>0</v>
      </c>
      <c r="BW498" s="123"/>
      <c r="BX498" s="123">
        <f t="shared" si="662"/>
        <v>0</v>
      </c>
      <c r="BY498" s="123"/>
      <c r="BZ498" s="123">
        <f t="shared" si="663"/>
        <v>0</v>
      </c>
      <c r="CA498" s="123"/>
      <c r="CB498" s="123">
        <f t="shared" si="664"/>
        <v>0</v>
      </c>
      <c r="CC498" s="123"/>
      <c r="CD498" s="123">
        <f t="shared" si="665"/>
        <v>0</v>
      </c>
      <c r="CE498" s="123"/>
      <c r="CF498" s="123">
        <f t="shared" si="666"/>
        <v>0</v>
      </c>
      <c r="CG498" s="132"/>
      <c r="CH498" s="123">
        <f t="shared" si="667"/>
        <v>0</v>
      </c>
      <c r="CI498" s="123"/>
      <c r="CJ498" s="127"/>
      <c r="CK498" s="123"/>
      <c r="CL498" s="123">
        <f t="shared" si="668"/>
        <v>0</v>
      </c>
      <c r="CM498" s="130"/>
      <c r="CN498" s="123">
        <f t="shared" si="669"/>
        <v>0</v>
      </c>
      <c r="CO498" s="123"/>
      <c r="CP498" s="123">
        <f t="shared" si="670"/>
        <v>0</v>
      </c>
      <c r="CQ498" s="123"/>
      <c r="CR498" s="123">
        <f t="shared" si="671"/>
        <v>0</v>
      </c>
      <c r="CS498" s="123"/>
      <c r="CT498" s="133">
        <f t="shared" si="672"/>
        <v>0</v>
      </c>
      <c r="CU498" s="127"/>
      <c r="CV498" s="123">
        <f t="shared" si="673"/>
        <v>0</v>
      </c>
      <c r="CW498" s="126">
        <f t="shared" si="674"/>
        <v>50</v>
      </c>
      <c r="CX498" s="126">
        <f t="shared" si="674"/>
        <v>2207815.8059999999</v>
      </c>
    </row>
    <row r="499" spans="1:102" ht="30" customHeight="1" x14ac:dyDescent="0.25">
      <c r="A499" s="91"/>
      <c r="B499" s="116">
        <v>420</v>
      </c>
      <c r="C499" s="117" t="s">
        <v>1116</v>
      </c>
      <c r="D499" s="161" t="s">
        <v>1117</v>
      </c>
      <c r="E499" s="95">
        <v>28004</v>
      </c>
      <c r="F499" s="96">
        <v>29405</v>
      </c>
      <c r="G499" s="119">
        <v>1.38</v>
      </c>
      <c r="H499" s="107">
        <v>1</v>
      </c>
      <c r="I499" s="108"/>
      <c r="J499" s="108"/>
      <c r="K499" s="108"/>
      <c r="L499" s="63"/>
      <c r="M499" s="120">
        <v>1.4</v>
      </c>
      <c r="N499" s="120">
        <v>1.68</v>
      </c>
      <c r="O499" s="120">
        <v>2.23</v>
      </c>
      <c r="P499" s="121">
        <v>2.57</v>
      </c>
      <c r="Q499" s="122">
        <v>2</v>
      </c>
      <c r="R499" s="123">
        <f t="shared" si="636"/>
        <v>123990.54359999998</v>
      </c>
      <c r="S499" s="124"/>
      <c r="T499" s="125">
        <f t="shared" si="637"/>
        <v>0</v>
      </c>
      <c r="U499" s="123"/>
      <c r="V499" s="123">
        <f t="shared" si="675"/>
        <v>0</v>
      </c>
      <c r="W499" s="123"/>
      <c r="X499" s="126">
        <f t="shared" si="638"/>
        <v>0</v>
      </c>
      <c r="Y499" s="123"/>
      <c r="Z499" s="123">
        <f t="shared" si="639"/>
        <v>0</v>
      </c>
      <c r="AA499" s="123"/>
      <c r="AB499" s="123">
        <f t="shared" si="640"/>
        <v>0</v>
      </c>
      <c r="AC499" s="123"/>
      <c r="AD499" s="123"/>
      <c r="AE499" s="123"/>
      <c r="AF499" s="123">
        <f t="shared" si="641"/>
        <v>0</v>
      </c>
      <c r="AG499" s="123"/>
      <c r="AH499" s="126">
        <f t="shared" si="642"/>
        <v>0</v>
      </c>
      <c r="AI499" s="123"/>
      <c r="AJ499" s="123">
        <f t="shared" si="643"/>
        <v>0</v>
      </c>
      <c r="AK499" s="123"/>
      <c r="AL499" s="123">
        <f t="shared" si="644"/>
        <v>0</v>
      </c>
      <c r="AM499" s="132"/>
      <c r="AN499" s="123">
        <f t="shared" si="645"/>
        <v>0</v>
      </c>
      <c r="AO499" s="130"/>
      <c r="AP499" s="127">
        <f t="shared" si="646"/>
        <v>0</v>
      </c>
      <c r="AQ499" s="127">
        <v>0</v>
      </c>
      <c r="AR499" s="127">
        <v>0</v>
      </c>
      <c r="AS499" s="123">
        <v>10</v>
      </c>
      <c r="AT499" s="123">
        <f t="shared" si="647"/>
        <v>507234.04199999996</v>
      </c>
      <c r="AU499" s="123"/>
      <c r="AV499" s="126">
        <f t="shared" si="648"/>
        <v>0</v>
      </c>
      <c r="AW499" s="123"/>
      <c r="AX499" s="123">
        <f t="shared" si="649"/>
        <v>0</v>
      </c>
      <c r="AY499" s="123"/>
      <c r="AZ499" s="123">
        <f t="shared" si="650"/>
        <v>0</v>
      </c>
      <c r="BA499" s="123"/>
      <c r="BB499" s="123">
        <f t="shared" si="651"/>
        <v>0</v>
      </c>
      <c r="BC499" s="123"/>
      <c r="BD499" s="126">
        <f t="shared" si="652"/>
        <v>0</v>
      </c>
      <c r="BE499" s="123"/>
      <c r="BF499" s="123">
        <f t="shared" si="653"/>
        <v>0</v>
      </c>
      <c r="BG499" s="123"/>
      <c r="BH499" s="123">
        <f t="shared" si="654"/>
        <v>0</v>
      </c>
      <c r="BI499" s="123"/>
      <c r="BJ499" s="126">
        <f t="shared" si="655"/>
        <v>0</v>
      </c>
      <c r="BK499" s="123"/>
      <c r="BL499" s="127">
        <f t="shared" si="656"/>
        <v>0</v>
      </c>
      <c r="BM499" s="123"/>
      <c r="BN499" s="123">
        <f t="shared" si="657"/>
        <v>0</v>
      </c>
      <c r="BO499" s="123"/>
      <c r="BP499" s="123">
        <f t="shared" si="658"/>
        <v>0</v>
      </c>
      <c r="BQ499" s="123"/>
      <c r="BR499" s="123">
        <f t="shared" si="659"/>
        <v>0</v>
      </c>
      <c r="BS499" s="123"/>
      <c r="BT499" s="123">
        <f t="shared" si="660"/>
        <v>0</v>
      </c>
      <c r="BU499" s="123"/>
      <c r="BV499" s="126">
        <f t="shared" si="661"/>
        <v>0</v>
      </c>
      <c r="BW499" s="123"/>
      <c r="BX499" s="123">
        <f t="shared" si="662"/>
        <v>0</v>
      </c>
      <c r="BY499" s="123"/>
      <c r="BZ499" s="123">
        <f t="shared" si="663"/>
        <v>0</v>
      </c>
      <c r="CA499" s="123"/>
      <c r="CB499" s="123">
        <f t="shared" si="664"/>
        <v>0</v>
      </c>
      <c r="CC499" s="123"/>
      <c r="CD499" s="123">
        <f t="shared" si="665"/>
        <v>0</v>
      </c>
      <c r="CE499" s="123"/>
      <c r="CF499" s="123">
        <f t="shared" si="666"/>
        <v>0</v>
      </c>
      <c r="CG499" s="132"/>
      <c r="CH499" s="123">
        <f t="shared" si="667"/>
        <v>0</v>
      </c>
      <c r="CI499" s="123"/>
      <c r="CJ499" s="127"/>
      <c r="CK499" s="123"/>
      <c r="CL499" s="123">
        <f t="shared" si="668"/>
        <v>0</v>
      </c>
      <c r="CM499" s="130"/>
      <c r="CN499" s="123">
        <f t="shared" si="669"/>
        <v>0</v>
      </c>
      <c r="CO499" s="123"/>
      <c r="CP499" s="123">
        <f t="shared" si="670"/>
        <v>0</v>
      </c>
      <c r="CQ499" s="123"/>
      <c r="CR499" s="123">
        <f t="shared" si="671"/>
        <v>0</v>
      </c>
      <c r="CS499" s="123"/>
      <c r="CT499" s="133">
        <f t="shared" si="672"/>
        <v>0</v>
      </c>
      <c r="CU499" s="127"/>
      <c r="CV499" s="123">
        <f t="shared" si="673"/>
        <v>0</v>
      </c>
      <c r="CW499" s="126">
        <f t="shared" si="674"/>
        <v>12</v>
      </c>
      <c r="CX499" s="126">
        <f t="shared" si="674"/>
        <v>631224.58559999987</v>
      </c>
    </row>
    <row r="500" spans="1:102" ht="30" customHeight="1" x14ac:dyDescent="0.25">
      <c r="A500" s="91"/>
      <c r="B500" s="116">
        <v>421</v>
      </c>
      <c r="C500" s="117" t="s">
        <v>1118</v>
      </c>
      <c r="D500" s="161" t="s">
        <v>1119</v>
      </c>
      <c r="E500" s="95">
        <v>28004</v>
      </c>
      <c r="F500" s="96">
        <v>29405</v>
      </c>
      <c r="G500" s="107">
        <v>2</v>
      </c>
      <c r="H500" s="107">
        <v>1</v>
      </c>
      <c r="I500" s="108"/>
      <c r="J500" s="108"/>
      <c r="K500" s="108"/>
      <c r="L500" s="63"/>
      <c r="M500" s="120">
        <v>1.4</v>
      </c>
      <c r="N500" s="120">
        <v>1.68</v>
      </c>
      <c r="O500" s="120">
        <v>2.23</v>
      </c>
      <c r="P500" s="121">
        <v>2.57</v>
      </c>
      <c r="Q500" s="122">
        <v>0</v>
      </c>
      <c r="R500" s="123">
        <f t="shared" si="636"/>
        <v>0</v>
      </c>
      <c r="S500" s="124">
        <v>0</v>
      </c>
      <c r="T500" s="125">
        <f t="shared" si="637"/>
        <v>0</v>
      </c>
      <c r="U500" s="123"/>
      <c r="V500" s="123">
        <f t="shared" si="675"/>
        <v>0</v>
      </c>
      <c r="W500" s="123"/>
      <c r="X500" s="126">
        <f t="shared" si="638"/>
        <v>0</v>
      </c>
      <c r="Y500" s="123"/>
      <c r="Z500" s="123">
        <f t="shared" si="639"/>
        <v>0</v>
      </c>
      <c r="AA500" s="123"/>
      <c r="AB500" s="123">
        <f t="shared" si="640"/>
        <v>0</v>
      </c>
      <c r="AC500" s="123"/>
      <c r="AD500" s="123"/>
      <c r="AE500" s="123"/>
      <c r="AF500" s="123">
        <f t="shared" si="641"/>
        <v>0</v>
      </c>
      <c r="AG500" s="123"/>
      <c r="AH500" s="126">
        <f t="shared" si="642"/>
        <v>0</v>
      </c>
      <c r="AI500" s="123"/>
      <c r="AJ500" s="123">
        <f t="shared" si="643"/>
        <v>0</v>
      </c>
      <c r="AK500" s="123"/>
      <c r="AL500" s="123">
        <f t="shared" si="644"/>
        <v>0</v>
      </c>
      <c r="AM500" s="132"/>
      <c r="AN500" s="123">
        <f t="shared" si="645"/>
        <v>0</v>
      </c>
      <c r="AO500" s="130"/>
      <c r="AP500" s="127">
        <f t="shared" si="646"/>
        <v>0</v>
      </c>
      <c r="AQ500" s="127">
        <v>0</v>
      </c>
      <c r="AR500" s="127">
        <v>0</v>
      </c>
      <c r="AS500" s="123"/>
      <c r="AT500" s="123">
        <f t="shared" si="647"/>
        <v>0</v>
      </c>
      <c r="AU500" s="123"/>
      <c r="AV500" s="126">
        <f t="shared" si="648"/>
        <v>0</v>
      </c>
      <c r="AW500" s="123"/>
      <c r="AX500" s="123">
        <f t="shared" si="649"/>
        <v>0</v>
      </c>
      <c r="AY500" s="123"/>
      <c r="AZ500" s="123">
        <f t="shared" si="650"/>
        <v>0</v>
      </c>
      <c r="BA500" s="123"/>
      <c r="BB500" s="123">
        <f t="shared" si="651"/>
        <v>0</v>
      </c>
      <c r="BC500" s="123"/>
      <c r="BD500" s="126">
        <f t="shared" si="652"/>
        <v>0</v>
      </c>
      <c r="BE500" s="123"/>
      <c r="BF500" s="123">
        <f t="shared" si="653"/>
        <v>0</v>
      </c>
      <c r="BG500" s="123"/>
      <c r="BH500" s="123">
        <f t="shared" si="654"/>
        <v>0</v>
      </c>
      <c r="BI500" s="123"/>
      <c r="BJ500" s="126">
        <f t="shared" si="655"/>
        <v>0</v>
      </c>
      <c r="BK500" s="123"/>
      <c r="BL500" s="127">
        <f t="shared" si="656"/>
        <v>0</v>
      </c>
      <c r="BM500" s="123"/>
      <c r="BN500" s="123">
        <f t="shared" si="657"/>
        <v>0</v>
      </c>
      <c r="BO500" s="123"/>
      <c r="BP500" s="123">
        <f t="shared" si="658"/>
        <v>0</v>
      </c>
      <c r="BQ500" s="123"/>
      <c r="BR500" s="123">
        <f t="shared" si="659"/>
        <v>0</v>
      </c>
      <c r="BS500" s="123"/>
      <c r="BT500" s="123">
        <f t="shared" si="660"/>
        <v>0</v>
      </c>
      <c r="BU500" s="123"/>
      <c r="BV500" s="126">
        <f t="shared" si="661"/>
        <v>0</v>
      </c>
      <c r="BW500" s="123"/>
      <c r="BX500" s="123">
        <f t="shared" si="662"/>
        <v>0</v>
      </c>
      <c r="BY500" s="123"/>
      <c r="BZ500" s="123">
        <f t="shared" si="663"/>
        <v>0</v>
      </c>
      <c r="CA500" s="123"/>
      <c r="CB500" s="123">
        <f t="shared" si="664"/>
        <v>0</v>
      </c>
      <c r="CC500" s="123"/>
      <c r="CD500" s="123">
        <f t="shared" si="665"/>
        <v>0</v>
      </c>
      <c r="CE500" s="123"/>
      <c r="CF500" s="123">
        <f t="shared" si="666"/>
        <v>0</v>
      </c>
      <c r="CG500" s="132"/>
      <c r="CH500" s="123">
        <f t="shared" si="667"/>
        <v>0</v>
      </c>
      <c r="CI500" s="123"/>
      <c r="CJ500" s="127"/>
      <c r="CK500" s="123"/>
      <c r="CL500" s="123">
        <f t="shared" si="668"/>
        <v>0</v>
      </c>
      <c r="CM500" s="130"/>
      <c r="CN500" s="123">
        <f t="shared" si="669"/>
        <v>0</v>
      </c>
      <c r="CO500" s="123"/>
      <c r="CP500" s="123">
        <f t="shared" si="670"/>
        <v>0</v>
      </c>
      <c r="CQ500" s="123"/>
      <c r="CR500" s="123">
        <f t="shared" si="671"/>
        <v>0</v>
      </c>
      <c r="CS500" s="123"/>
      <c r="CT500" s="133">
        <f t="shared" si="672"/>
        <v>0</v>
      </c>
      <c r="CU500" s="127"/>
      <c r="CV500" s="123">
        <f t="shared" si="673"/>
        <v>0</v>
      </c>
      <c r="CW500" s="126">
        <f t="shared" si="674"/>
        <v>0</v>
      </c>
      <c r="CX500" s="126">
        <f t="shared" si="674"/>
        <v>0</v>
      </c>
    </row>
    <row r="501" spans="1:102" ht="45" customHeight="1" x14ac:dyDescent="0.25">
      <c r="A501" s="91"/>
      <c r="B501" s="116">
        <v>422</v>
      </c>
      <c r="C501" s="117" t="s">
        <v>1120</v>
      </c>
      <c r="D501" s="161" t="s">
        <v>1121</v>
      </c>
      <c r="E501" s="95">
        <v>28004</v>
      </c>
      <c r="F501" s="96">
        <v>29405</v>
      </c>
      <c r="G501" s="119">
        <v>0.59</v>
      </c>
      <c r="H501" s="107">
        <v>1</v>
      </c>
      <c r="I501" s="108"/>
      <c r="J501" s="108"/>
      <c r="K501" s="108"/>
      <c r="L501" s="63"/>
      <c r="M501" s="120">
        <v>1.4</v>
      </c>
      <c r="N501" s="120">
        <v>1.68</v>
      </c>
      <c r="O501" s="120">
        <v>2.23</v>
      </c>
      <c r="P501" s="121">
        <v>2.57</v>
      </c>
      <c r="Q501" s="122">
        <v>5</v>
      </c>
      <c r="R501" s="123">
        <f t="shared" si="636"/>
        <v>132526.12450000001</v>
      </c>
      <c r="S501" s="124"/>
      <c r="T501" s="125">
        <f t="shared" si="637"/>
        <v>0</v>
      </c>
      <c r="U501" s="123"/>
      <c r="V501" s="123">
        <f t="shared" si="675"/>
        <v>0</v>
      </c>
      <c r="W501" s="123"/>
      <c r="X501" s="126">
        <f t="shared" si="638"/>
        <v>0</v>
      </c>
      <c r="Y501" s="123"/>
      <c r="Z501" s="123">
        <f t="shared" si="639"/>
        <v>0</v>
      </c>
      <c r="AA501" s="123"/>
      <c r="AB501" s="123">
        <f t="shared" si="640"/>
        <v>0</v>
      </c>
      <c r="AC501" s="123"/>
      <c r="AD501" s="123"/>
      <c r="AE501" s="123"/>
      <c r="AF501" s="123">
        <f t="shared" si="641"/>
        <v>0</v>
      </c>
      <c r="AG501" s="123"/>
      <c r="AH501" s="126">
        <f t="shared" si="642"/>
        <v>0</v>
      </c>
      <c r="AI501" s="123"/>
      <c r="AJ501" s="123">
        <f t="shared" si="643"/>
        <v>0</v>
      </c>
      <c r="AK501" s="123"/>
      <c r="AL501" s="123">
        <f t="shared" si="644"/>
        <v>0</v>
      </c>
      <c r="AM501" s="132"/>
      <c r="AN501" s="123">
        <f t="shared" si="645"/>
        <v>0</v>
      </c>
      <c r="AO501" s="130"/>
      <c r="AP501" s="127">
        <f t="shared" si="646"/>
        <v>0</v>
      </c>
      <c r="AQ501" s="127">
        <v>0</v>
      </c>
      <c r="AR501" s="127">
        <v>0</v>
      </c>
      <c r="AS501" s="123">
        <v>1352</v>
      </c>
      <c r="AT501" s="123">
        <f t="shared" si="647"/>
        <v>29319597.871200003</v>
      </c>
      <c r="AU501" s="123"/>
      <c r="AV501" s="126">
        <f t="shared" si="648"/>
        <v>0</v>
      </c>
      <c r="AW501" s="123"/>
      <c r="AX501" s="123">
        <f t="shared" si="649"/>
        <v>0</v>
      </c>
      <c r="AY501" s="123"/>
      <c r="AZ501" s="123">
        <f t="shared" si="650"/>
        <v>0</v>
      </c>
      <c r="BA501" s="123"/>
      <c r="BB501" s="123">
        <f t="shared" si="651"/>
        <v>0</v>
      </c>
      <c r="BC501" s="123"/>
      <c r="BD501" s="126">
        <f t="shared" si="652"/>
        <v>0</v>
      </c>
      <c r="BE501" s="123"/>
      <c r="BF501" s="123">
        <f t="shared" si="653"/>
        <v>0</v>
      </c>
      <c r="BG501" s="123"/>
      <c r="BH501" s="123">
        <f t="shared" si="654"/>
        <v>0</v>
      </c>
      <c r="BI501" s="123"/>
      <c r="BJ501" s="126">
        <f t="shared" si="655"/>
        <v>0</v>
      </c>
      <c r="BK501" s="123"/>
      <c r="BL501" s="127">
        <f t="shared" si="656"/>
        <v>0</v>
      </c>
      <c r="BM501" s="123"/>
      <c r="BN501" s="123">
        <f t="shared" si="657"/>
        <v>0</v>
      </c>
      <c r="BO501" s="123"/>
      <c r="BP501" s="123">
        <f t="shared" si="658"/>
        <v>0</v>
      </c>
      <c r="BQ501" s="123"/>
      <c r="BR501" s="123">
        <f t="shared" si="659"/>
        <v>0</v>
      </c>
      <c r="BS501" s="123"/>
      <c r="BT501" s="123">
        <f t="shared" si="660"/>
        <v>0</v>
      </c>
      <c r="BU501" s="123"/>
      <c r="BV501" s="126">
        <f t="shared" si="661"/>
        <v>0</v>
      </c>
      <c r="BW501" s="123"/>
      <c r="BX501" s="123">
        <f t="shared" si="662"/>
        <v>0</v>
      </c>
      <c r="BY501" s="123"/>
      <c r="BZ501" s="123">
        <f t="shared" si="663"/>
        <v>0</v>
      </c>
      <c r="CA501" s="123"/>
      <c r="CB501" s="123">
        <f t="shared" si="664"/>
        <v>0</v>
      </c>
      <c r="CC501" s="123"/>
      <c r="CD501" s="123">
        <f t="shared" si="665"/>
        <v>0</v>
      </c>
      <c r="CE501" s="123"/>
      <c r="CF501" s="123">
        <f t="shared" si="666"/>
        <v>0</v>
      </c>
      <c r="CG501" s="132"/>
      <c r="CH501" s="123">
        <f t="shared" si="667"/>
        <v>0</v>
      </c>
      <c r="CI501" s="123"/>
      <c r="CJ501" s="127"/>
      <c r="CK501" s="123"/>
      <c r="CL501" s="123">
        <f t="shared" si="668"/>
        <v>0</v>
      </c>
      <c r="CM501" s="130"/>
      <c r="CN501" s="123">
        <f t="shared" si="669"/>
        <v>0</v>
      </c>
      <c r="CO501" s="123"/>
      <c r="CP501" s="123">
        <f t="shared" si="670"/>
        <v>0</v>
      </c>
      <c r="CQ501" s="123"/>
      <c r="CR501" s="123">
        <f t="shared" si="671"/>
        <v>0</v>
      </c>
      <c r="CS501" s="123"/>
      <c r="CT501" s="133">
        <f t="shared" si="672"/>
        <v>0</v>
      </c>
      <c r="CU501" s="127"/>
      <c r="CV501" s="123">
        <f t="shared" si="673"/>
        <v>0</v>
      </c>
      <c r="CW501" s="126">
        <f t="shared" si="674"/>
        <v>1357</v>
      </c>
      <c r="CX501" s="126">
        <f t="shared" si="674"/>
        <v>29452123.995700002</v>
      </c>
    </row>
    <row r="502" spans="1:102" ht="45" customHeight="1" x14ac:dyDescent="0.25">
      <c r="A502" s="91"/>
      <c r="B502" s="116">
        <v>423</v>
      </c>
      <c r="C502" s="117" t="s">
        <v>1122</v>
      </c>
      <c r="D502" s="161" t="s">
        <v>1123</v>
      </c>
      <c r="E502" s="95">
        <v>28004</v>
      </c>
      <c r="F502" s="96">
        <v>29405</v>
      </c>
      <c r="G502" s="119">
        <v>0.84</v>
      </c>
      <c r="H502" s="107">
        <v>1</v>
      </c>
      <c r="I502" s="108"/>
      <c r="J502" s="108"/>
      <c r="K502" s="108"/>
      <c r="L502" s="63"/>
      <c r="M502" s="120">
        <v>1.4</v>
      </c>
      <c r="N502" s="120">
        <v>1.68</v>
      </c>
      <c r="O502" s="120">
        <v>2.23</v>
      </c>
      <c r="P502" s="121">
        <v>2.57</v>
      </c>
      <c r="Q502" s="122">
        <v>175</v>
      </c>
      <c r="R502" s="123">
        <f t="shared" si="636"/>
        <v>6603844.1699999999</v>
      </c>
      <c r="S502" s="124"/>
      <c r="T502" s="125">
        <f t="shared" si="637"/>
        <v>0</v>
      </c>
      <c r="U502" s="123"/>
      <c r="V502" s="123">
        <f t="shared" si="675"/>
        <v>0</v>
      </c>
      <c r="W502" s="123"/>
      <c r="X502" s="126">
        <f t="shared" si="638"/>
        <v>0</v>
      </c>
      <c r="Y502" s="123"/>
      <c r="Z502" s="123">
        <f t="shared" si="639"/>
        <v>0</v>
      </c>
      <c r="AA502" s="123"/>
      <c r="AB502" s="123">
        <f t="shared" si="640"/>
        <v>0</v>
      </c>
      <c r="AC502" s="123"/>
      <c r="AD502" s="123"/>
      <c r="AE502" s="123"/>
      <c r="AF502" s="123">
        <f t="shared" si="641"/>
        <v>0</v>
      </c>
      <c r="AG502" s="123"/>
      <c r="AH502" s="126">
        <f t="shared" si="642"/>
        <v>0</v>
      </c>
      <c r="AI502" s="123"/>
      <c r="AJ502" s="123">
        <f t="shared" si="643"/>
        <v>0</v>
      </c>
      <c r="AK502" s="123"/>
      <c r="AL502" s="123">
        <f t="shared" si="644"/>
        <v>0</v>
      </c>
      <c r="AM502" s="132"/>
      <c r="AN502" s="123">
        <f t="shared" si="645"/>
        <v>0</v>
      </c>
      <c r="AO502" s="130"/>
      <c r="AP502" s="127">
        <f t="shared" si="646"/>
        <v>0</v>
      </c>
      <c r="AQ502" s="127">
        <v>0</v>
      </c>
      <c r="AR502" s="127">
        <v>0</v>
      </c>
      <c r="AS502" s="123">
        <v>70</v>
      </c>
      <c r="AT502" s="123">
        <f t="shared" si="647"/>
        <v>2161258.0919999997</v>
      </c>
      <c r="AU502" s="123"/>
      <c r="AV502" s="126">
        <f t="shared" si="648"/>
        <v>0</v>
      </c>
      <c r="AW502" s="123"/>
      <c r="AX502" s="123">
        <f t="shared" si="649"/>
        <v>0</v>
      </c>
      <c r="AY502" s="123"/>
      <c r="AZ502" s="123">
        <f t="shared" si="650"/>
        <v>0</v>
      </c>
      <c r="BA502" s="123"/>
      <c r="BB502" s="123">
        <f t="shared" si="651"/>
        <v>0</v>
      </c>
      <c r="BC502" s="123"/>
      <c r="BD502" s="126">
        <f t="shared" si="652"/>
        <v>0</v>
      </c>
      <c r="BE502" s="123"/>
      <c r="BF502" s="123">
        <f t="shared" si="653"/>
        <v>0</v>
      </c>
      <c r="BG502" s="123"/>
      <c r="BH502" s="123">
        <f t="shared" si="654"/>
        <v>0</v>
      </c>
      <c r="BI502" s="123"/>
      <c r="BJ502" s="126">
        <f t="shared" si="655"/>
        <v>0</v>
      </c>
      <c r="BK502" s="123"/>
      <c r="BL502" s="127">
        <f t="shared" si="656"/>
        <v>0</v>
      </c>
      <c r="BM502" s="123"/>
      <c r="BN502" s="123">
        <f t="shared" si="657"/>
        <v>0</v>
      </c>
      <c r="BO502" s="123"/>
      <c r="BP502" s="123">
        <f t="shared" si="658"/>
        <v>0</v>
      </c>
      <c r="BQ502" s="123"/>
      <c r="BR502" s="123">
        <f t="shared" si="659"/>
        <v>0</v>
      </c>
      <c r="BS502" s="123"/>
      <c r="BT502" s="123">
        <f t="shared" si="660"/>
        <v>0</v>
      </c>
      <c r="BU502" s="123"/>
      <c r="BV502" s="126">
        <f t="shared" si="661"/>
        <v>0</v>
      </c>
      <c r="BW502" s="123"/>
      <c r="BX502" s="123">
        <f t="shared" si="662"/>
        <v>0</v>
      </c>
      <c r="BY502" s="123"/>
      <c r="BZ502" s="123">
        <f t="shared" si="663"/>
        <v>0</v>
      </c>
      <c r="CA502" s="123"/>
      <c r="CB502" s="123">
        <f t="shared" si="664"/>
        <v>0</v>
      </c>
      <c r="CC502" s="123"/>
      <c r="CD502" s="123">
        <f t="shared" si="665"/>
        <v>0</v>
      </c>
      <c r="CE502" s="123"/>
      <c r="CF502" s="123">
        <f t="shared" si="666"/>
        <v>0</v>
      </c>
      <c r="CG502" s="132"/>
      <c r="CH502" s="123">
        <f t="shared" si="667"/>
        <v>0</v>
      </c>
      <c r="CI502" s="123"/>
      <c r="CJ502" s="127"/>
      <c r="CK502" s="123"/>
      <c r="CL502" s="123">
        <f>(CK502/12*2*$E502*$G502*$H502*$N502*$CL$11)+(CK502/12*10*$F502*$G502*$H502*$N502*$CL$12)</f>
        <v>0</v>
      </c>
      <c r="CM502" s="130"/>
      <c r="CN502" s="123">
        <f t="shared" si="669"/>
        <v>0</v>
      </c>
      <c r="CO502" s="123"/>
      <c r="CP502" s="123">
        <f t="shared" si="670"/>
        <v>0</v>
      </c>
      <c r="CQ502" s="123"/>
      <c r="CR502" s="123">
        <f t="shared" si="671"/>
        <v>0</v>
      </c>
      <c r="CS502" s="123"/>
      <c r="CT502" s="133">
        <f t="shared" si="672"/>
        <v>0</v>
      </c>
      <c r="CU502" s="127"/>
      <c r="CV502" s="123">
        <f t="shared" si="673"/>
        <v>0</v>
      </c>
      <c r="CW502" s="126">
        <f t="shared" si="674"/>
        <v>245</v>
      </c>
      <c r="CX502" s="126">
        <f t="shared" si="674"/>
        <v>8765102.2620000001</v>
      </c>
    </row>
    <row r="503" spans="1:102" ht="45" customHeight="1" x14ac:dyDescent="0.25">
      <c r="A503" s="91"/>
      <c r="B503" s="116">
        <v>424</v>
      </c>
      <c r="C503" s="117" t="s">
        <v>1124</v>
      </c>
      <c r="D503" s="161" t="s">
        <v>1125</v>
      </c>
      <c r="E503" s="95">
        <v>28004</v>
      </c>
      <c r="F503" s="96">
        <v>29405</v>
      </c>
      <c r="G503" s="119">
        <v>1.17</v>
      </c>
      <c r="H503" s="107">
        <v>1</v>
      </c>
      <c r="I503" s="108"/>
      <c r="J503" s="108"/>
      <c r="K503" s="108"/>
      <c r="L503" s="63"/>
      <c r="M503" s="120">
        <v>1.4</v>
      </c>
      <c r="N503" s="120">
        <v>1.68</v>
      </c>
      <c r="O503" s="120">
        <v>2.23</v>
      </c>
      <c r="P503" s="121">
        <v>2.57</v>
      </c>
      <c r="Q503" s="122">
        <v>0</v>
      </c>
      <c r="R503" s="123">
        <f t="shared" si="636"/>
        <v>0</v>
      </c>
      <c r="S503" s="124"/>
      <c r="T503" s="125">
        <f t="shared" si="637"/>
        <v>0</v>
      </c>
      <c r="U503" s="123"/>
      <c r="V503" s="123">
        <f t="shared" si="675"/>
        <v>0</v>
      </c>
      <c r="W503" s="123"/>
      <c r="X503" s="126">
        <f t="shared" si="638"/>
        <v>0</v>
      </c>
      <c r="Y503" s="123"/>
      <c r="Z503" s="123">
        <f t="shared" si="639"/>
        <v>0</v>
      </c>
      <c r="AA503" s="123"/>
      <c r="AB503" s="123">
        <f t="shared" si="640"/>
        <v>0</v>
      </c>
      <c r="AC503" s="123"/>
      <c r="AD503" s="123"/>
      <c r="AE503" s="123"/>
      <c r="AF503" s="123">
        <f t="shared" si="641"/>
        <v>0</v>
      </c>
      <c r="AG503" s="123"/>
      <c r="AH503" s="126">
        <f t="shared" si="642"/>
        <v>0</v>
      </c>
      <c r="AI503" s="123"/>
      <c r="AJ503" s="123">
        <f t="shared" si="643"/>
        <v>0</v>
      </c>
      <c r="AK503" s="123"/>
      <c r="AL503" s="123">
        <f t="shared" si="644"/>
        <v>0</v>
      </c>
      <c r="AM503" s="132"/>
      <c r="AN503" s="123">
        <f t="shared" si="645"/>
        <v>0</v>
      </c>
      <c r="AO503" s="130"/>
      <c r="AP503" s="127">
        <f t="shared" si="646"/>
        <v>0</v>
      </c>
      <c r="AQ503" s="127">
        <v>0</v>
      </c>
      <c r="AR503" s="127">
        <v>0</v>
      </c>
      <c r="AS503" s="123"/>
      <c r="AT503" s="123">
        <f t="shared" si="647"/>
        <v>0</v>
      </c>
      <c r="AU503" s="123"/>
      <c r="AV503" s="126">
        <f t="shared" si="648"/>
        <v>0</v>
      </c>
      <c r="AW503" s="123"/>
      <c r="AX503" s="123">
        <f t="shared" si="649"/>
        <v>0</v>
      </c>
      <c r="AY503" s="123"/>
      <c r="AZ503" s="123">
        <f t="shared" si="650"/>
        <v>0</v>
      </c>
      <c r="BA503" s="123"/>
      <c r="BB503" s="123">
        <f t="shared" si="651"/>
        <v>0</v>
      </c>
      <c r="BC503" s="123"/>
      <c r="BD503" s="126">
        <f t="shared" si="652"/>
        <v>0</v>
      </c>
      <c r="BE503" s="123"/>
      <c r="BF503" s="123">
        <f t="shared" si="653"/>
        <v>0</v>
      </c>
      <c r="BG503" s="123"/>
      <c r="BH503" s="123">
        <f t="shared" si="654"/>
        <v>0</v>
      </c>
      <c r="BI503" s="123"/>
      <c r="BJ503" s="126">
        <f t="shared" si="655"/>
        <v>0</v>
      </c>
      <c r="BK503" s="123"/>
      <c r="BL503" s="127">
        <f t="shared" si="656"/>
        <v>0</v>
      </c>
      <c r="BM503" s="123"/>
      <c r="BN503" s="123">
        <f t="shared" si="657"/>
        <v>0</v>
      </c>
      <c r="BO503" s="123"/>
      <c r="BP503" s="123">
        <f>(BO503/12*2*$E503*$G503*$H503*$M503*$BP$11)+(BO503/12*10*$F503*$G503*$H503*$M503*$BP$12)</f>
        <v>0</v>
      </c>
      <c r="BQ503" s="123"/>
      <c r="BR503" s="123">
        <f t="shared" si="659"/>
        <v>0</v>
      </c>
      <c r="BS503" s="123"/>
      <c r="BT503" s="123">
        <f t="shared" si="660"/>
        <v>0</v>
      </c>
      <c r="BU503" s="123"/>
      <c r="BV503" s="126">
        <f t="shared" si="661"/>
        <v>0</v>
      </c>
      <c r="BW503" s="123"/>
      <c r="BX503" s="123">
        <f t="shared" si="662"/>
        <v>0</v>
      </c>
      <c r="BY503" s="123"/>
      <c r="BZ503" s="123">
        <f t="shared" si="663"/>
        <v>0</v>
      </c>
      <c r="CA503" s="123"/>
      <c r="CB503" s="123">
        <f t="shared" si="664"/>
        <v>0</v>
      </c>
      <c r="CC503" s="123"/>
      <c r="CD503" s="123">
        <f t="shared" si="665"/>
        <v>0</v>
      </c>
      <c r="CE503" s="123"/>
      <c r="CF503" s="123">
        <f t="shared" si="666"/>
        <v>0</v>
      </c>
      <c r="CG503" s="132"/>
      <c r="CH503" s="123">
        <f t="shared" si="667"/>
        <v>0</v>
      </c>
      <c r="CI503" s="123"/>
      <c r="CJ503" s="127"/>
      <c r="CK503" s="123"/>
      <c r="CL503" s="123">
        <f t="shared" si="668"/>
        <v>0</v>
      </c>
      <c r="CM503" s="130"/>
      <c r="CN503" s="123">
        <f t="shared" si="669"/>
        <v>0</v>
      </c>
      <c r="CO503" s="123"/>
      <c r="CP503" s="123">
        <f t="shared" si="670"/>
        <v>0</v>
      </c>
      <c r="CQ503" s="123"/>
      <c r="CR503" s="123">
        <f t="shared" si="671"/>
        <v>0</v>
      </c>
      <c r="CS503" s="123"/>
      <c r="CT503" s="133">
        <f t="shared" si="672"/>
        <v>0</v>
      </c>
      <c r="CU503" s="127"/>
      <c r="CV503" s="123">
        <f t="shared" si="673"/>
        <v>0</v>
      </c>
      <c r="CW503" s="126">
        <f t="shared" si="674"/>
        <v>0</v>
      </c>
      <c r="CX503" s="126">
        <f t="shared" si="674"/>
        <v>0</v>
      </c>
    </row>
    <row r="504" spans="1:102" ht="30" customHeight="1" x14ac:dyDescent="0.25">
      <c r="A504" s="91"/>
      <c r="B504" s="116">
        <v>425</v>
      </c>
      <c r="C504" s="117" t="s">
        <v>1126</v>
      </c>
      <c r="D504" s="161" t="s">
        <v>1127</v>
      </c>
      <c r="E504" s="95">
        <v>28004</v>
      </c>
      <c r="F504" s="96">
        <v>29405</v>
      </c>
      <c r="G504" s="107">
        <v>1.5</v>
      </c>
      <c r="H504" s="107">
        <v>1</v>
      </c>
      <c r="I504" s="108"/>
      <c r="J504" s="108"/>
      <c r="K504" s="108"/>
      <c r="L504" s="63"/>
      <c r="M504" s="120">
        <v>1.4</v>
      </c>
      <c r="N504" s="120">
        <v>1.68</v>
      </c>
      <c r="O504" s="120">
        <v>2.23</v>
      </c>
      <c r="P504" s="121">
        <v>2.57</v>
      </c>
      <c r="Q504" s="122">
        <v>0</v>
      </c>
      <c r="R504" s="123">
        <f t="shared" si="636"/>
        <v>0</v>
      </c>
      <c r="S504" s="124"/>
      <c r="T504" s="125">
        <f t="shared" si="637"/>
        <v>0</v>
      </c>
      <c r="U504" s="123"/>
      <c r="V504" s="123">
        <f t="shared" si="675"/>
        <v>0</v>
      </c>
      <c r="W504" s="123"/>
      <c r="X504" s="126">
        <f t="shared" si="638"/>
        <v>0</v>
      </c>
      <c r="Y504" s="123"/>
      <c r="Z504" s="123">
        <f t="shared" si="639"/>
        <v>0</v>
      </c>
      <c r="AA504" s="123"/>
      <c r="AB504" s="123">
        <f t="shared" si="640"/>
        <v>0</v>
      </c>
      <c r="AC504" s="123"/>
      <c r="AD504" s="123"/>
      <c r="AE504" s="123"/>
      <c r="AF504" s="123">
        <f t="shared" si="641"/>
        <v>0</v>
      </c>
      <c r="AG504" s="123"/>
      <c r="AH504" s="126">
        <f t="shared" si="642"/>
        <v>0</v>
      </c>
      <c r="AI504" s="123"/>
      <c r="AJ504" s="123">
        <f t="shared" si="643"/>
        <v>0</v>
      </c>
      <c r="AK504" s="123"/>
      <c r="AL504" s="123">
        <f t="shared" si="644"/>
        <v>0</v>
      </c>
      <c r="AM504" s="132"/>
      <c r="AN504" s="123">
        <f t="shared" si="645"/>
        <v>0</v>
      </c>
      <c r="AO504" s="130"/>
      <c r="AP504" s="127">
        <f t="shared" si="646"/>
        <v>0</v>
      </c>
      <c r="AQ504" s="127">
        <v>0</v>
      </c>
      <c r="AR504" s="127">
        <v>0</v>
      </c>
      <c r="AS504" s="123">
        <v>100</v>
      </c>
      <c r="AT504" s="123">
        <f t="shared" si="647"/>
        <v>5513413.5</v>
      </c>
      <c r="AU504" s="123"/>
      <c r="AV504" s="126">
        <f t="shared" si="648"/>
        <v>0</v>
      </c>
      <c r="AW504" s="123"/>
      <c r="AX504" s="123">
        <f t="shared" si="649"/>
        <v>0</v>
      </c>
      <c r="AY504" s="123"/>
      <c r="AZ504" s="123">
        <f t="shared" si="650"/>
        <v>0</v>
      </c>
      <c r="BA504" s="123"/>
      <c r="BB504" s="123">
        <f t="shared" si="651"/>
        <v>0</v>
      </c>
      <c r="BC504" s="123"/>
      <c r="BD504" s="126">
        <f t="shared" si="652"/>
        <v>0</v>
      </c>
      <c r="BE504" s="123"/>
      <c r="BF504" s="123">
        <f t="shared" si="653"/>
        <v>0</v>
      </c>
      <c r="BG504" s="123"/>
      <c r="BH504" s="123">
        <f t="shared" si="654"/>
        <v>0</v>
      </c>
      <c r="BI504" s="123"/>
      <c r="BJ504" s="126">
        <f t="shared" si="655"/>
        <v>0</v>
      </c>
      <c r="BK504" s="123"/>
      <c r="BL504" s="127">
        <f t="shared" si="656"/>
        <v>0</v>
      </c>
      <c r="BM504" s="123"/>
      <c r="BN504" s="123">
        <f t="shared" si="657"/>
        <v>0</v>
      </c>
      <c r="BO504" s="123"/>
      <c r="BP504" s="123">
        <f t="shared" si="658"/>
        <v>0</v>
      </c>
      <c r="BQ504" s="123"/>
      <c r="BR504" s="123">
        <f t="shared" si="659"/>
        <v>0</v>
      </c>
      <c r="BS504" s="123"/>
      <c r="BT504" s="123">
        <f t="shared" si="660"/>
        <v>0</v>
      </c>
      <c r="BU504" s="123"/>
      <c r="BV504" s="126">
        <f t="shared" si="661"/>
        <v>0</v>
      </c>
      <c r="BW504" s="123"/>
      <c r="BX504" s="123">
        <f t="shared" si="662"/>
        <v>0</v>
      </c>
      <c r="BY504" s="123"/>
      <c r="BZ504" s="123">
        <f t="shared" si="663"/>
        <v>0</v>
      </c>
      <c r="CA504" s="123"/>
      <c r="CB504" s="123">
        <f t="shared" si="664"/>
        <v>0</v>
      </c>
      <c r="CC504" s="123"/>
      <c r="CD504" s="123">
        <f t="shared" si="665"/>
        <v>0</v>
      </c>
      <c r="CE504" s="123"/>
      <c r="CF504" s="123">
        <f t="shared" si="666"/>
        <v>0</v>
      </c>
      <c r="CG504" s="132">
        <v>0</v>
      </c>
      <c r="CH504" s="123">
        <f t="shared" si="667"/>
        <v>0</v>
      </c>
      <c r="CI504" s="123"/>
      <c r="CJ504" s="127"/>
      <c r="CK504" s="123"/>
      <c r="CL504" s="123">
        <f t="shared" si="668"/>
        <v>0</v>
      </c>
      <c r="CM504" s="130"/>
      <c r="CN504" s="123">
        <f t="shared" si="669"/>
        <v>0</v>
      </c>
      <c r="CO504" s="123"/>
      <c r="CP504" s="123">
        <f t="shared" si="670"/>
        <v>0</v>
      </c>
      <c r="CQ504" s="123"/>
      <c r="CR504" s="123">
        <f t="shared" si="671"/>
        <v>0</v>
      </c>
      <c r="CS504" s="123"/>
      <c r="CT504" s="133">
        <f t="shared" si="672"/>
        <v>0</v>
      </c>
      <c r="CU504" s="127"/>
      <c r="CV504" s="123">
        <f t="shared" si="673"/>
        <v>0</v>
      </c>
      <c r="CW504" s="126">
        <f t="shared" si="674"/>
        <v>100</v>
      </c>
      <c r="CX504" s="126">
        <f t="shared" si="674"/>
        <v>5513413.5</v>
      </c>
    </row>
    <row r="505" spans="1:102" ht="45" customHeight="1" x14ac:dyDescent="0.25">
      <c r="A505" s="91"/>
      <c r="B505" s="116">
        <v>426</v>
      </c>
      <c r="C505" s="117" t="s">
        <v>1128</v>
      </c>
      <c r="D505" s="161" t="s">
        <v>1129</v>
      </c>
      <c r="E505" s="95">
        <v>28004</v>
      </c>
      <c r="F505" s="96">
        <v>29405</v>
      </c>
      <c r="G505" s="107">
        <v>1.8</v>
      </c>
      <c r="H505" s="107">
        <v>1</v>
      </c>
      <c r="I505" s="108"/>
      <c r="J505" s="108"/>
      <c r="K505" s="108"/>
      <c r="L505" s="63"/>
      <c r="M505" s="120">
        <v>1.4</v>
      </c>
      <c r="N505" s="120">
        <v>1.68</v>
      </c>
      <c r="O505" s="120">
        <v>2.23</v>
      </c>
      <c r="P505" s="121">
        <v>2.57</v>
      </c>
      <c r="Q505" s="122">
        <v>0</v>
      </c>
      <c r="R505" s="123">
        <f t="shared" si="636"/>
        <v>0</v>
      </c>
      <c r="S505" s="124"/>
      <c r="T505" s="125">
        <f t="shared" si="637"/>
        <v>0</v>
      </c>
      <c r="U505" s="123"/>
      <c r="V505" s="123">
        <f t="shared" si="675"/>
        <v>0</v>
      </c>
      <c r="W505" s="123"/>
      <c r="X505" s="126">
        <f t="shared" si="638"/>
        <v>0</v>
      </c>
      <c r="Y505" s="123"/>
      <c r="Z505" s="123">
        <f t="shared" si="639"/>
        <v>0</v>
      </c>
      <c r="AA505" s="123"/>
      <c r="AB505" s="123">
        <f t="shared" si="640"/>
        <v>0</v>
      </c>
      <c r="AC505" s="123"/>
      <c r="AD505" s="123"/>
      <c r="AE505" s="123"/>
      <c r="AF505" s="123">
        <f t="shared" si="641"/>
        <v>0</v>
      </c>
      <c r="AG505" s="123"/>
      <c r="AH505" s="126">
        <f t="shared" si="642"/>
        <v>0</v>
      </c>
      <c r="AI505" s="123"/>
      <c r="AJ505" s="123">
        <f t="shared" si="643"/>
        <v>0</v>
      </c>
      <c r="AK505" s="123"/>
      <c r="AL505" s="123">
        <f t="shared" si="644"/>
        <v>0</v>
      </c>
      <c r="AM505" s="132"/>
      <c r="AN505" s="123">
        <f t="shared" si="645"/>
        <v>0</v>
      </c>
      <c r="AO505" s="130"/>
      <c r="AP505" s="127">
        <f t="shared" si="646"/>
        <v>0</v>
      </c>
      <c r="AQ505" s="127">
        <v>0</v>
      </c>
      <c r="AR505" s="127">
        <v>0</v>
      </c>
      <c r="AS505" s="123"/>
      <c r="AT505" s="123">
        <f t="shared" si="647"/>
        <v>0</v>
      </c>
      <c r="AU505" s="123"/>
      <c r="AV505" s="126">
        <f t="shared" si="648"/>
        <v>0</v>
      </c>
      <c r="AW505" s="123"/>
      <c r="AX505" s="123">
        <f t="shared" si="649"/>
        <v>0</v>
      </c>
      <c r="AY505" s="123"/>
      <c r="AZ505" s="123">
        <f t="shared" si="650"/>
        <v>0</v>
      </c>
      <c r="BA505" s="123"/>
      <c r="BB505" s="123">
        <f t="shared" si="651"/>
        <v>0</v>
      </c>
      <c r="BC505" s="123"/>
      <c r="BD505" s="126">
        <f t="shared" si="652"/>
        <v>0</v>
      </c>
      <c r="BE505" s="123"/>
      <c r="BF505" s="123">
        <f t="shared" si="653"/>
        <v>0</v>
      </c>
      <c r="BG505" s="123"/>
      <c r="BH505" s="123">
        <f t="shared" si="654"/>
        <v>0</v>
      </c>
      <c r="BI505" s="123"/>
      <c r="BJ505" s="126">
        <f t="shared" si="655"/>
        <v>0</v>
      </c>
      <c r="BK505" s="123"/>
      <c r="BL505" s="127">
        <f t="shared" si="656"/>
        <v>0</v>
      </c>
      <c r="BM505" s="123"/>
      <c r="BN505" s="123">
        <f t="shared" si="657"/>
        <v>0</v>
      </c>
      <c r="BO505" s="123"/>
      <c r="BP505" s="123">
        <f t="shared" si="658"/>
        <v>0</v>
      </c>
      <c r="BQ505" s="123"/>
      <c r="BR505" s="123">
        <f t="shared" si="659"/>
        <v>0</v>
      </c>
      <c r="BS505" s="123"/>
      <c r="BT505" s="123">
        <f t="shared" si="660"/>
        <v>0</v>
      </c>
      <c r="BU505" s="123"/>
      <c r="BV505" s="126">
        <f t="shared" si="661"/>
        <v>0</v>
      </c>
      <c r="BW505" s="123"/>
      <c r="BX505" s="123">
        <f t="shared" si="662"/>
        <v>0</v>
      </c>
      <c r="BY505" s="123"/>
      <c r="BZ505" s="123">
        <f t="shared" si="663"/>
        <v>0</v>
      </c>
      <c r="CA505" s="123"/>
      <c r="CB505" s="123">
        <f t="shared" si="664"/>
        <v>0</v>
      </c>
      <c r="CC505" s="123"/>
      <c r="CD505" s="123">
        <f t="shared" si="665"/>
        <v>0</v>
      </c>
      <c r="CE505" s="123"/>
      <c r="CF505" s="123">
        <f t="shared" si="666"/>
        <v>0</v>
      </c>
      <c r="CG505" s="132">
        <v>0</v>
      </c>
      <c r="CH505" s="123">
        <f t="shared" si="667"/>
        <v>0</v>
      </c>
      <c r="CI505" s="123"/>
      <c r="CJ505" s="127"/>
      <c r="CK505" s="123"/>
      <c r="CL505" s="123">
        <f t="shared" si="668"/>
        <v>0</v>
      </c>
      <c r="CM505" s="130"/>
      <c r="CN505" s="123">
        <f t="shared" si="669"/>
        <v>0</v>
      </c>
      <c r="CO505" s="123"/>
      <c r="CP505" s="123">
        <f t="shared" si="670"/>
        <v>0</v>
      </c>
      <c r="CQ505" s="123"/>
      <c r="CR505" s="123">
        <f t="shared" si="671"/>
        <v>0</v>
      </c>
      <c r="CS505" s="123"/>
      <c r="CT505" s="133">
        <f t="shared" si="672"/>
        <v>0</v>
      </c>
      <c r="CU505" s="127"/>
      <c r="CV505" s="123">
        <f t="shared" si="673"/>
        <v>0</v>
      </c>
      <c r="CW505" s="126">
        <f t="shared" si="674"/>
        <v>0</v>
      </c>
      <c r="CX505" s="126">
        <f t="shared" si="674"/>
        <v>0</v>
      </c>
    </row>
    <row r="506" spans="1:102" ht="60" customHeight="1" x14ac:dyDescent="0.25">
      <c r="A506" s="91"/>
      <c r="B506" s="116">
        <v>427</v>
      </c>
      <c r="C506" s="117" t="s">
        <v>1130</v>
      </c>
      <c r="D506" s="161" t="s">
        <v>1131</v>
      </c>
      <c r="E506" s="95">
        <v>28004</v>
      </c>
      <c r="F506" s="96">
        <v>29405</v>
      </c>
      <c r="G506" s="119">
        <v>4.8099999999999996</v>
      </c>
      <c r="H506" s="107">
        <v>1</v>
      </c>
      <c r="I506" s="108"/>
      <c r="J506" s="108"/>
      <c r="K506" s="108"/>
      <c r="L506" s="63"/>
      <c r="M506" s="120">
        <v>1.4</v>
      </c>
      <c r="N506" s="120">
        <v>1.68</v>
      </c>
      <c r="O506" s="120">
        <v>2.23</v>
      </c>
      <c r="P506" s="121">
        <v>2.57</v>
      </c>
      <c r="Q506" s="122">
        <v>0</v>
      </c>
      <c r="R506" s="123">
        <f t="shared" si="636"/>
        <v>0</v>
      </c>
      <c r="S506" s="124"/>
      <c r="T506" s="125">
        <f t="shared" si="637"/>
        <v>0</v>
      </c>
      <c r="U506" s="123"/>
      <c r="V506" s="123">
        <f t="shared" si="675"/>
        <v>0</v>
      </c>
      <c r="W506" s="123"/>
      <c r="X506" s="126">
        <f t="shared" si="638"/>
        <v>0</v>
      </c>
      <c r="Y506" s="123"/>
      <c r="Z506" s="123">
        <f t="shared" si="639"/>
        <v>0</v>
      </c>
      <c r="AA506" s="123"/>
      <c r="AB506" s="123">
        <f t="shared" si="640"/>
        <v>0</v>
      </c>
      <c r="AC506" s="123"/>
      <c r="AD506" s="123"/>
      <c r="AE506" s="123"/>
      <c r="AF506" s="123">
        <f t="shared" si="641"/>
        <v>0</v>
      </c>
      <c r="AG506" s="123"/>
      <c r="AH506" s="126">
        <f t="shared" si="642"/>
        <v>0</v>
      </c>
      <c r="AI506" s="123"/>
      <c r="AJ506" s="123">
        <f t="shared" si="643"/>
        <v>0</v>
      </c>
      <c r="AK506" s="123"/>
      <c r="AL506" s="123">
        <f t="shared" si="644"/>
        <v>0</v>
      </c>
      <c r="AM506" s="132"/>
      <c r="AN506" s="123">
        <f t="shared" si="645"/>
        <v>0</v>
      </c>
      <c r="AO506" s="130"/>
      <c r="AP506" s="127">
        <f t="shared" si="646"/>
        <v>0</v>
      </c>
      <c r="AQ506" s="127">
        <v>0</v>
      </c>
      <c r="AR506" s="127">
        <v>0</v>
      </c>
      <c r="AS506" s="123"/>
      <c r="AT506" s="123">
        <f t="shared" si="647"/>
        <v>0</v>
      </c>
      <c r="AU506" s="123"/>
      <c r="AV506" s="126">
        <f t="shared" si="648"/>
        <v>0</v>
      </c>
      <c r="AW506" s="123"/>
      <c r="AX506" s="123">
        <f t="shared" si="649"/>
        <v>0</v>
      </c>
      <c r="AY506" s="123"/>
      <c r="AZ506" s="123">
        <f t="shared" si="650"/>
        <v>0</v>
      </c>
      <c r="BA506" s="123"/>
      <c r="BB506" s="123">
        <f t="shared" si="651"/>
        <v>0</v>
      </c>
      <c r="BC506" s="123"/>
      <c r="BD506" s="126">
        <f t="shared" si="652"/>
        <v>0</v>
      </c>
      <c r="BE506" s="123"/>
      <c r="BF506" s="123">
        <f t="shared" si="653"/>
        <v>0</v>
      </c>
      <c r="BG506" s="123"/>
      <c r="BH506" s="123">
        <f t="shared" si="654"/>
        <v>0</v>
      </c>
      <c r="BI506" s="123"/>
      <c r="BJ506" s="126">
        <f t="shared" si="655"/>
        <v>0</v>
      </c>
      <c r="BK506" s="123"/>
      <c r="BL506" s="127">
        <f t="shared" si="656"/>
        <v>0</v>
      </c>
      <c r="BM506" s="123"/>
      <c r="BN506" s="123">
        <f t="shared" si="657"/>
        <v>0</v>
      </c>
      <c r="BO506" s="123"/>
      <c r="BP506" s="123">
        <f t="shared" si="658"/>
        <v>0</v>
      </c>
      <c r="BQ506" s="123"/>
      <c r="BR506" s="123">
        <f t="shared" si="659"/>
        <v>0</v>
      </c>
      <c r="BS506" s="123"/>
      <c r="BT506" s="123">
        <f t="shared" si="660"/>
        <v>0</v>
      </c>
      <c r="BU506" s="123"/>
      <c r="BV506" s="126">
        <f t="shared" si="661"/>
        <v>0</v>
      </c>
      <c r="BW506" s="123"/>
      <c r="BX506" s="123">
        <f t="shared" si="662"/>
        <v>0</v>
      </c>
      <c r="BY506" s="123"/>
      <c r="BZ506" s="123">
        <f t="shared" si="663"/>
        <v>0</v>
      </c>
      <c r="CA506" s="123"/>
      <c r="CB506" s="123">
        <f t="shared" si="664"/>
        <v>0</v>
      </c>
      <c r="CC506" s="123"/>
      <c r="CD506" s="123">
        <f t="shared" si="665"/>
        <v>0</v>
      </c>
      <c r="CE506" s="123"/>
      <c r="CF506" s="123">
        <f t="shared" si="666"/>
        <v>0</v>
      </c>
      <c r="CG506" s="132">
        <v>0</v>
      </c>
      <c r="CH506" s="123">
        <f t="shared" si="667"/>
        <v>0</v>
      </c>
      <c r="CI506" s="123"/>
      <c r="CJ506" s="127"/>
      <c r="CK506" s="123"/>
      <c r="CL506" s="123">
        <f t="shared" si="668"/>
        <v>0</v>
      </c>
      <c r="CM506" s="130"/>
      <c r="CN506" s="123">
        <f t="shared" si="669"/>
        <v>0</v>
      </c>
      <c r="CO506" s="123"/>
      <c r="CP506" s="123">
        <f t="shared" si="670"/>
        <v>0</v>
      </c>
      <c r="CQ506" s="123"/>
      <c r="CR506" s="123">
        <f t="shared" si="671"/>
        <v>0</v>
      </c>
      <c r="CS506" s="123"/>
      <c r="CT506" s="133">
        <f t="shared" si="672"/>
        <v>0</v>
      </c>
      <c r="CU506" s="127"/>
      <c r="CV506" s="123">
        <f t="shared" si="673"/>
        <v>0</v>
      </c>
      <c r="CW506" s="126">
        <f t="shared" si="674"/>
        <v>0</v>
      </c>
      <c r="CX506" s="126">
        <f t="shared" si="674"/>
        <v>0</v>
      </c>
    </row>
    <row r="507" spans="1:102" ht="30" customHeight="1" x14ac:dyDescent="0.25">
      <c r="A507" s="91"/>
      <c r="B507" s="116">
        <v>428</v>
      </c>
      <c r="C507" s="117" t="s">
        <v>1132</v>
      </c>
      <c r="D507" s="161" t="s">
        <v>1133</v>
      </c>
      <c r="E507" s="95">
        <v>28004</v>
      </c>
      <c r="F507" s="96">
        <v>29405</v>
      </c>
      <c r="G507" s="119">
        <v>2.75</v>
      </c>
      <c r="H507" s="107">
        <v>1</v>
      </c>
      <c r="I507" s="108"/>
      <c r="J507" s="108"/>
      <c r="K507" s="108"/>
      <c r="L507" s="63"/>
      <c r="M507" s="120">
        <v>1.4</v>
      </c>
      <c r="N507" s="120">
        <v>1.68</v>
      </c>
      <c r="O507" s="120">
        <v>2.23</v>
      </c>
      <c r="P507" s="121">
        <v>2.57</v>
      </c>
      <c r="Q507" s="122">
        <v>0</v>
      </c>
      <c r="R507" s="123">
        <f t="shared" si="636"/>
        <v>0</v>
      </c>
      <c r="S507" s="124"/>
      <c r="T507" s="125">
        <f t="shared" si="637"/>
        <v>0</v>
      </c>
      <c r="U507" s="123"/>
      <c r="V507" s="123">
        <f t="shared" si="675"/>
        <v>0</v>
      </c>
      <c r="W507" s="123"/>
      <c r="X507" s="126">
        <f t="shared" si="638"/>
        <v>0</v>
      </c>
      <c r="Y507" s="123"/>
      <c r="Z507" s="123">
        <f t="shared" si="639"/>
        <v>0</v>
      </c>
      <c r="AA507" s="123"/>
      <c r="AB507" s="123">
        <f t="shared" si="640"/>
        <v>0</v>
      </c>
      <c r="AC507" s="123"/>
      <c r="AD507" s="123"/>
      <c r="AE507" s="123"/>
      <c r="AF507" s="123">
        <f t="shared" si="641"/>
        <v>0</v>
      </c>
      <c r="AG507" s="123"/>
      <c r="AH507" s="126">
        <f t="shared" si="642"/>
        <v>0</v>
      </c>
      <c r="AI507" s="123"/>
      <c r="AJ507" s="123">
        <f t="shared" si="643"/>
        <v>0</v>
      </c>
      <c r="AK507" s="123"/>
      <c r="AL507" s="123">
        <f t="shared" si="644"/>
        <v>0</v>
      </c>
      <c r="AM507" s="132"/>
      <c r="AN507" s="123">
        <f t="shared" si="645"/>
        <v>0</v>
      </c>
      <c r="AO507" s="130"/>
      <c r="AP507" s="127">
        <f t="shared" si="646"/>
        <v>0</v>
      </c>
      <c r="AQ507" s="127">
        <v>0</v>
      </c>
      <c r="AR507" s="127">
        <v>0</v>
      </c>
      <c r="AS507" s="123">
        <v>892</v>
      </c>
      <c r="AT507" s="123">
        <f t="shared" si="647"/>
        <v>90162688.769999996</v>
      </c>
      <c r="AU507" s="123"/>
      <c r="AV507" s="126">
        <f t="shared" si="648"/>
        <v>0</v>
      </c>
      <c r="AW507" s="123"/>
      <c r="AX507" s="123">
        <f t="shared" si="649"/>
        <v>0</v>
      </c>
      <c r="AY507" s="123"/>
      <c r="AZ507" s="123">
        <f t="shared" si="650"/>
        <v>0</v>
      </c>
      <c r="BA507" s="123"/>
      <c r="BB507" s="123">
        <f t="shared" si="651"/>
        <v>0</v>
      </c>
      <c r="BC507" s="123"/>
      <c r="BD507" s="126">
        <f t="shared" si="652"/>
        <v>0</v>
      </c>
      <c r="BE507" s="123"/>
      <c r="BF507" s="123">
        <f t="shared" si="653"/>
        <v>0</v>
      </c>
      <c r="BG507" s="123"/>
      <c r="BH507" s="123">
        <f t="shared" si="654"/>
        <v>0</v>
      </c>
      <c r="BI507" s="123"/>
      <c r="BJ507" s="126">
        <f t="shared" si="655"/>
        <v>0</v>
      </c>
      <c r="BK507" s="123"/>
      <c r="BL507" s="127">
        <f t="shared" si="656"/>
        <v>0</v>
      </c>
      <c r="BM507" s="123"/>
      <c r="BN507" s="123">
        <f t="shared" si="657"/>
        <v>0</v>
      </c>
      <c r="BO507" s="123"/>
      <c r="BP507" s="123">
        <f t="shared" si="658"/>
        <v>0</v>
      </c>
      <c r="BQ507" s="123"/>
      <c r="BR507" s="123">
        <f t="shared" si="659"/>
        <v>0</v>
      </c>
      <c r="BS507" s="123"/>
      <c r="BT507" s="123">
        <f t="shared" si="660"/>
        <v>0</v>
      </c>
      <c r="BU507" s="123"/>
      <c r="BV507" s="126">
        <f t="shared" si="661"/>
        <v>0</v>
      </c>
      <c r="BW507" s="123"/>
      <c r="BX507" s="123">
        <f t="shared" si="662"/>
        <v>0</v>
      </c>
      <c r="BY507" s="123"/>
      <c r="BZ507" s="123">
        <f t="shared" si="663"/>
        <v>0</v>
      </c>
      <c r="CA507" s="123"/>
      <c r="CB507" s="123">
        <f t="shared" si="664"/>
        <v>0</v>
      </c>
      <c r="CC507" s="123"/>
      <c r="CD507" s="123">
        <f t="shared" si="665"/>
        <v>0</v>
      </c>
      <c r="CE507" s="123"/>
      <c r="CF507" s="123">
        <f t="shared" si="666"/>
        <v>0</v>
      </c>
      <c r="CG507" s="132">
        <v>0</v>
      </c>
      <c r="CH507" s="123">
        <f t="shared" si="667"/>
        <v>0</v>
      </c>
      <c r="CI507" s="123"/>
      <c r="CJ507" s="127"/>
      <c r="CK507" s="123"/>
      <c r="CL507" s="123">
        <f t="shared" si="668"/>
        <v>0</v>
      </c>
      <c r="CM507" s="130"/>
      <c r="CN507" s="123">
        <f t="shared" si="669"/>
        <v>0</v>
      </c>
      <c r="CO507" s="123"/>
      <c r="CP507" s="123">
        <f t="shared" si="670"/>
        <v>0</v>
      </c>
      <c r="CQ507" s="123"/>
      <c r="CR507" s="123">
        <f t="shared" si="671"/>
        <v>0</v>
      </c>
      <c r="CS507" s="123"/>
      <c r="CT507" s="133">
        <f t="shared" si="672"/>
        <v>0</v>
      </c>
      <c r="CU507" s="127"/>
      <c r="CV507" s="123">
        <f t="shared" si="673"/>
        <v>0</v>
      </c>
      <c r="CW507" s="126">
        <f t="shared" si="674"/>
        <v>892</v>
      </c>
      <c r="CX507" s="126">
        <f t="shared" si="674"/>
        <v>90162688.769999996</v>
      </c>
    </row>
    <row r="508" spans="1:102" ht="45" customHeight="1" x14ac:dyDescent="0.25">
      <c r="A508" s="91"/>
      <c r="B508" s="116">
        <v>429</v>
      </c>
      <c r="C508" s="117" t="s">
        <v>1134</v>
      </c>
      <c r="D508" s="161" t="s">
        <v>1135</v>
      </c>
      <c r="E508" s="95">
        <v>28004</v>
      </c>
      <c r="F508" s="96">
        <v>29405</v>
      </c>
      <c r="G508" s="119">
        <v>2.35</v>
      </c>
      <c r="H508" s="107">
        <v>1</v>
      </c>
      <c r="I508" s="108"/>
      <c r="J508" s="108"/>
      <c r="K508" s="108"/>
      <c r="L508" s="63"/>
      <c r="M508" s="120">
        <v>1.4</v>
      </c>
      <c r="N508" s="120">
        <v>1.68</v>
      </c>
      <c r="O508" s="120">
        <v>2.23</v>
      </c>
      <c r="P508" s="121">
        <v>2.57</v>
      </c>
      <c r="Q508" s="122">
        <v>0</v>
      </c>
      <c r="R508" s="123">
        <f t="shared" si="636"/>
        <v>0</v>
      </c>
      <c r="S508" s="124"/>
      <c r="T508" s="125">
        <f t="shared" si="637"/>
        <v>0</v>
      </c>
      <c r="U508" s="123"/>
      <c r="V508" s="123">
        <f t="shared" si="675"/>
        <v>0</v>
      </c>
      <c r="W508" s="123"/>
      <c r="X508" s="126">
        <f t="shared" si="638"/>
        <v>0</v>
      </c>
      <c r="Y508" s="123"/>
      <c r="Z508" s="123">
        <f t="shared" si="639"/>
        <v>0</v>
      </c>
      <c r="AA508" s="123"/>
      <c r="AB508" s="123">
        <f t="shared" si="640"/>
        <v>0</v>
      </c>
      <c r="AC508" s="123"/>
      <c r="AD508" s="123"/>
      <c r="AE508" s="123"/>
      <c r="AF508" s="123">
        <f t="shared" si="641"/>
        <v>0</v>
      </c>
      <c r="AG508" s="123"/>
      <c r="AH508" s="126">
        <f t="shared" si="642"/>
        <v>0</v>
      </c>
      <c r="AI508" s="123"/>
      <c r="AJ508" s="123">
        <f t="shared" si="643"/>
        <v>0</v>
      </c>
      <c r="AK508" s="123"/>
      <c r="AL508" s="123">
        <f t="shared" si="644"/>
        <v>0</v>
      </c>
      <c r="AM508" s="132"/>
      <c r="AN508" s="123">
        <f t="shared" si="645"/>
        <v>0</v>
      </c>
      <c r="AO508" s="130"/>
      <c r="AP508" s="127">
        <f t="shared" si="646"/>
        <v>0</v>
      </c>
      <c r="AQ508" s="127">
        <v>0</v>
      </c>
      <c r="AR508" s="127">
        <v>0</v>
      </c>
      <c r="AS508" s="123">
        <v>10</v>
      </c>
      <c r="AT508" s="123">
        <f t="shared" si="647"/>
        <v>863768.11499999999</v>
      </c>
      <c r="AU508" s="123"/>
      <c r="AV508" s="126">
        <f t="shared" si="648"/>
        <v>0</v>
      </c>
      <c r="AW508" s="123"/>
      <c r="AX508" s="123">
        <f t="shared" si="649"/>
        <v>0</v>
      </c>
      <c r="AY508" s="123"/>
      <c r="AZ508" s="123">
        <f t="shared" si="650"/>
        <v>0</v>
      </c>
      <c r="BA508" s="123"/>
      <c r="BB508" s="123">
        <f t="shared" si="651"/>
        <v>0</v>
      </c>
      <c r="BC508" s="123"/>
      <c r="BD508" s="126">
        <f t="shared" si="652"/>
        <v>0</v>
      </c>
      <c r="BE508" s="123"/>
      <c r="BF508" s="123">
        <f t="shared" si="653"/>
        <v>0</v>
      </c>
      <c r="BG508" s="123"/>
      <c r="BH508" s="123">
        <f t="shared" si="654"/>
        <v>0</v>
      </c>
      <c r="BI508" s="123"/>
      <c r="BJ508" s="126">
        <f t="shared" si="655"/>
        <v>0</v>
      </c>
      <c r="BK508" s="123"/>
      <c r="BL508" s="127">
        <f t="shared" si="656"/>
        <v>0</v>
      </c>
      <c r="BM508" s="123"/>
      <c r="BN508" s="123">
        <f t="shared" si="657"/>
        <v>0</v>
      </c>
      <c r="BO508" s="123"/>
      <c r="BP508" s="123">
        <f t="shared" si="658"/>
        <v>0</v>
      </c>
      <c r="BQ508" s="123"/>
      <c r="BR508" s="123">
        <f t="shared" si="659"/>
        <v>0</v>
      </c>
      <c r="BS508" s="123"/>
      <c r="BT508" s="123">
        <f t="shared" si="660"/>
        <v>0</v>
      </c>
      <c r="BU508" s="123"/>
      <c r="BV508" s="126">
        <f t="shared" si="661"/>
        <v>0</v>
      </c>
      <c r="BW508" s="123"/>
      <c r="BX508" s="123">
        <f t="shared" si="662"/>
        <v>0</v>
      </c>
      <c r="BY508" s="123"/>
      <c r="BZ508" s="123">
        <f t="shared" si="663"/>
        <v>0</v>
      </c>
      <c r="CA508" s="123"/>
      <c r="CB508" s="123">
        <f t="shared" si="664"/>
        <v>0</v>
      </c>
      <c r="CC508" s="123"/>
      <c r="CD508" s="123">
        <f t="shared" si="665"/>
        <v>0</v>
      </c>
      <c r="CE508" s="123"/>
      <c r="CF508" s="123">
        <f t="shared" si="666"/>
        <v>0</v>
      </c>
      <c r="CG508" s="132">
        <v>0</v>
      </c>
      <c r="CH508" s="123">
        <f t="shared" si="667"/>
        <v>0</v>
      </c>
      <c r="CI508" s="123"/>
      <c r="CJ508" s="127"/>
      <c r="CK508" s="123"/>
      <c r="CL508" s="123">
        <f t="shared" si="668"/>
        <v>0</v>
      </c>
      <c r="CM508" s="130"/>
      <c r="CN508" s="123">
        <f t="shared" si="669"/>
        <v>0</v>
      </c>
      <c r="CO508" s="123"/>
      <c r="CP508" s="123">
        <f t="shared" si="670"/>
        <v>0</v>
      </c>
      <c r="CQ508" s="123"/>
      <c r="CR508" s="123">
        <f t="shared" si="671"/>
        <v>0</v>
      </c>
      <c r="CS508" s="123"/>
      <c r="CT508" s="133">
        <f t="shared" si="672"/>
        <v>0</v>
      </c>
      <c r="CU508" s="127"/>
      <c r="CV508" s="123">
        <f t="shared" si="673"/>
        <v>0</v>
      </c>
      <c r="CW508" s="126">
        <f t="shared" si="674"/>
        <v>10</v>
      </c>
      <c r="CX508" s="126">
        <f t="shared" si="674"/>
        <v>863768.11499999999</v>
      </c>
    </row>
    <row r="509" spans="1:102" ht="30" customHeight="1" x14ac:dyDescent="0.25">
      <c r="A509" s="91"/>
      <c r="B509" s="116">
        <v>430</v>
      </c>
      <c r="C509" s="201" t="s">
        <v>1136</v>
      </c>
      <c r="D509" s="161" t="s">
        <v>1137</v>
      </c>
      <c r="E509" s="95">
        <v>28004</v>
      </c>
      <c r="F509" s="96">
        <v>29405</v>
      </c>
      <c r="G509" s="119">
        <v>1.44</v>
      </c>
      <c r="H509" s="107">
        <v>1</v>
      </c>
      <c r="I509" s="108"/>
      <c r="J509" s="108"/>
      <c r="K509" s="108"/>
      <c r="L509" s="63"/>
      <c r="M509" s="120">
        <v>1.4</v>
      </c>
      <c r="N509" s="120">
        <v>1.68</v>
      </c>
      <c r="O509" s="120">
        <v>2.23</v>
      </c>
      <c r="P509" s="121">
        <v>2.57</v>
      </c>
      <c r="Q509" s="122">
        <v>0</v>
      </c>
      <c r="R509" s="123">
        <f t="shared" si="636"/>
        <v>0</v>
      </c>
      <c r="S509" s="124"/>
      <c r="T509" s="125">
        <f t="shared" si="637"/>
        <v>0</v>
      </c>
      <c r="U509" s="123"/>
      <c r="V509" s="123">
        <f t="shared" si="675"/>
        <v>0</v>
      </c>
      <c r="W509" s="123"/>
      <c r="X509" s="126">
        <f t="shared" si="638"/>
        <v>0</v>
      </c>
      <c r="Y509" s="123"/>
      <c r="Z509" s="123">
        <f t="shared" si="639"/>
        <v>0</v>
      </c>
      <c r="AA509" s="123"/>
      <c r="AB509" s="123">
        <f t="shared" si="640"/>
        <v>0</v>
      </c>
      <c r="AC509" s="123"/>
      <c r="AD509" s="123"/>
      <c r="AE509" s="123"/>
      <c r="AF509" s="123">
        <f t="shared" si="641"/>
        <v>0</v>
      </c>
      <c r="AG509" s="123"/>
      <c r="AH509" s="126">
        <f t="shared" si="642"/>
        <v>0</v>
      </c>
      <c r="AI509" s="123"/>
      <c r="AJ509" s="123">
        <f t="shared" si="643"/>
        <v>0</v>
      </c>
      <c r="AK509" s="123"/>
      <c r="AL509" s="123">
        <f t="shared" si="644"/>
        <v>0</v>
      </c>
      <c r="AM509" s="132"/>
      <c r="AN509" s="123">
        <f t="shared" si="645"/>
        <v>0</v>
      </c>
      <c r="AO509" s="130"/>
      <c r="AP509" s="127">
        <f t="shared" si="646"/>
        <v>0</v>
      </c>
      <c r="AQ509" s="127">
        <v>0</v>
      </c>
      <c r="AR509" s="127">
        <v>0</v>
      </c>
      <c r="AS509" s="123"/>
      <c r="AT509" s="123">
        <f t="shared" si="647"/>
        <v>0</v>
      </c>
      <c r="AU509" s="123"/>
      <c r="AV509" s="126">
        <f t="shared" si="648"/>
        <v>0</v>
      </c>
      <c r="AW509" s="123"/>
      <c r="AX509" s="123">
        <f t="shared" si="649"/>
        <v>0</v>
      </c>
      <c r="AY509" s="123"/>
      <c r="AZ509" s="123">
        <f t="shared" si="650"/>
        <v>0</v>
      </c>
      <c r="BA509" s="123"/>
      <c r="BB509" s="123">
        <f t="shared" si="651"/>
        <v>0</v>
      </c>
      <c r="BC509" s="123"/>
      <c r="BD509" s="126">
        <f t="shared" si="652"/>
        <v>0</v>
      </c>
      <c r="BE509" s="123"/>
      <c r="BF509" s="123">
        <f t="shared" si="653"/>
        <v>0</v>
      </c>
      <c r="BG509" s="123"/>
      <c r="BH509" s="123">
        <f t="shared" si="654"/>
        <v>0</v>
      </c>
      <c r="BI509" s="123"/>
      <c r="BJ509" s="126">
        <f t="shared" si="655"/>
        <v>0</v>
      </c>
      <c r="BK509" s="123"/>
      <c r="BL509" s="127">
        <f t="shared" si="656"/>
        <v>0</v>
      </c>
      <c r="BM509" s="123"/>
      <c r="BN509" s="123">
        <f t="shared" si="657"/>
        <v>0</v>
      </c>
      <c r="BO509" s="123"/>
      <c r="BP509" s="123">
        <f t="shared" si="658"/>
        <v>0</v>
      </c>
      <c r="BQ509" s="123"/>
      <c r="BR509" s="123">
        <f t="shared" si="659"/>
        <v>0</v>
      </c>
      <c r="BS509" s="123"/>
      <c r="BT509" s="123">
        <f t="shared" si="660"/>
        <v>0</v>
      </c>
      <c r="BU509" s="123"/>
      <c r="BV509" s="126">
        <f t="shared" si="661"/>
        <v>0</v>
      </c>
      <c r="BW509" s="123"/>
      <c r="BX509" s="123">
        <f t="shared" si="662"/>
        <v>0</v>
      </c>
      <c r="BY509" s="123"/>
      <c r="BZ509" s="123">
        <f t="shared" si="663"/>
        <v>0</v>
      </c>
      <c r="CA509" s="123"/>
      <c r="CB509" s="123">
        <f t="shared" si="664"/>
        <v>0</v>
      </c>
      <c r="CC509" s="123"/>
      <c r="CD509" s="123">
        <f t="shared" si="665"/>
        <v>0</v>
      </c>
      <c r="CE509" s="123"/>
      <c r="CF509" s="123">
        <f t="shared" si="666"/>
        <v>0</v>
      </c>
      <c r="CG509" s="132"/>
      <c r="CH509" s="123">
        <f t="shared" si="667"/>
        <v>0</v>
      </c>
      <c r="CI509" s="123"/>
      <c r="CJ509" s="127"/>
      <c r="CK509" s="123"/>
      <c r="CL509" s="123">
        <f t="shared" si="668"/>
        <v>0</v>
      </c>
      <c r="CM509" s="130"/>
      <c r="CN509" s="123">
        <f t="shared" si="669"/>
        <v>0</v>
      </c>
      <c r="CO509" s="123"/>
      <c r="CP509" s="123">
        <f t="shared" si="670"/>
        <v>0</v>
      </c>
      <c r="CQ509" s="123"/>
      <c r="CR509" s="123">
        <f t="shared" si="671"/>
        <v>0</v>
      </c>
      <c r="CS509" s="123"/>
      <c r="CT509" s="133">
        <f t="shared" si="672"/>
        <v>0</v>
      </c>
      <c r="CU509" s="127"/>
      <c r="CV509" s="123">
        <f t="shared" si="673"/>
        <v>0</v>
      </c>
      <c r="CW509" s="126">
        <f t="shared" si="674"/>
        <v>0</v>
      </c>
      <c r="CX509" s="126">
        <f t="shared" si="674"/>
        <v>0</v>
      </c>
    </row>
    <row r="510" spans="1:102" ht="30" customHeight="1" x14ac:dyDescent="0.25">
      <c r="A510" s="91"/>
      <c r="B510" s="116">
        <v>431</v>
      </c>
      <c r="C510" s="201" t="s">
        <v>1138</v>
      </c>
      <c r="D510" s="161" t="s">
        <v>1139</v>
      </c>
      <c r="E510" s="95">
        <v>28004</v>
      </c>
      <c r="F510" s="96">
        <v>29405</v>
      </c>
      <c r="G510" s="119">
        <v>1.24</v>
      </c>
      <c r="H510" s="107">
        <v>1</v>
      </c>
      <c r="I510" s="108"/>
      <c r="J510" s="108"/>
      <c r="K510" s="108"/>
      <c r="L510" s="63"/>
      <c r="M510" s="120">
        <v>1.4</v>
      </c>
      <c r="N510" s="120">
        <v>1.68</v>
      </c>
      <c r="O510" s="120">
        <v>2.23</v>
      </c>
      <c r="P510" s="121">
        <v>2.57</v>
      </c>
      <c r="Q510" s="122">
        <v>0</v>
      </c>
      <c r="R510" s="123">
        <f t="shared" si="636"/>
        <v>0</v>
      </c>
      <c r="S510" s="124"/>
      <c r="T510" s="125">
        <f t="shared" si="637"/>
        <v>0</v>
      </c>
      <c r="U510" s="123"/>
      <c r="V510" s="123">
        <f t="shared" si="675"/>
        <v>0</v>
      </c>
      <c r="W510" s="123"/>
      <c r="X510" s="126">
        <f t="shared" si="638"/>
        <v>0</v>
      </c>
      <c r="Y510" s="123"/>
      <c r="Z510" s="123">
        <f t="shared" si="639"/>
        <v>0</v>
      </c>
      <c r="AA510" s="123"/>
      <c r="AB510" s="123">
        <f t="shared" si="640"/>
        <v>0</v>
      </c>
      <c r="AC510" s="123"/>
      <c r="AD510" s="123"/>
      <c r="AE510" s="123"/>
      <c r="AF510" s="123">
        <f t="shared" si="641"/>
        <v>0</v>
      </c>
      <c r="AG510" s="123"/>
      <c r="AH510" s="126">
        <f t="shared" si="642"/>
        <v>0</v>
      </c>
      <c r="AI510" s="123"/>
      <c r="AJ510" s="123">
        <f t="shared" si="643"/>
        <v>0</v>
      </c>
      <c r="AK510" s="123"/>
      <c r="AL510" s="123">
        <f t="shared" si="644"/>
        <v>0</v>
      </c>
      <c r="AM510" s="132"/>
      <c r="AN510" s="123">
        <f t="shared" si="645"/>
        <v>0</v>
      </c>
      <c r="AO510" s="130"/>
      <c r="AP510" s="127">
        <f t="shared" si="646"/>
        <v>0</v>
      </c>
      <c r="AQ510" s="127">
        <v>0</v>
      </c>
      <c r="AR510" s="127">
        <v>0</v>
      </c>
      <c r="AS510" s="123"/>
      <c r="AT510" s="123">
        <f t="shared" si="647"/>
        <v>0</v>
      </c>
      <c r="AU510" s="123"/>
      <c r="AV510" s="126">
        <f t="shared" si="648"/>
        <v>0</v>
      </c>
      <c r="AW510" s="123"/>
      <c r="AX510" s="123">
        <f t="shared" si="649"/>
        <v>0</v>
      </c>
      <c r="AY510" s="123"/>
      <c r="AZ510" s="123">
        <f t="shared" si="650"/>
        <v>0</v>
      </c>
      <c r="BA510" s="123"/>
      <c r="BB510" s="123">
        <f t="shared" si="651"/>
        <v>0</v>
      </c>
      <c r="BC510" s="123"/>
      <c r="BD510" s="126">
        <f t="shared" si="652"/>
        <v>0</v>
      </c>
      <c r="BE510" s="123"/>
      <c r="BF510" s="123">
        <f t="shared" si="653"/>
        <v>0</v>
      </c>
      <c r="BG510" s="123"/>
      <c r="BH510" s="123">
        <f t="shared" si="654"/>
        <v>0</v>
      </c>
      <c r="BI510" s="123"/>
      <c r="BJ510" s="126">
        <f t="shared" si="655"/>
        <v>0</v>
      </c>
      <c r="BK510" s="123"/>
      <c r="BL510" s="127">
        <f t="shared" si="656"/>
        <v>0</v>
      </c>
      <c r="BM510" s="123"/>
      <c r="BN510" s="123">
        <f t="shared" si="657"/>
        <v>0</v>
      </c>
      <c r="BO510" s="123"/>
      <c r="BP510" s="123">
        <f t="shared" si="658"/>
        <v>0</v>
      </c>
      <c r="BQ510" s="123"/>
      <c r="BR510" s="123">
        <f t="shared" si="659"/>
        <v>0</v>
      </c>
      <c r="BS510" s="123"/>
      <c r="BT510" s="123">
        <f t="shared" si="660"/>
        <v>0</v>
      </c>
      <c r="BU510" s="123"/>
      <c r="BV510" s="126">
        <f t="shared" si="661"/>
        <v>0</v>
      </c>
      <c r="BW510" s="123"/>
      <c r="BX510" s="123">
        <f t="shared" si="662"/>
        <v>0</v>
      </c>
      <c r="BY510" s="123"/>
      <c r="BZ510" s="123">
        <f t="shared" si="663"/>
        <v>0</v>
      </c>
      <c r="CA510" s="123"/>
      <c r="CB510" s="123">
        <f t="shared" si="664"/>
        <v>0</v>
      </c>
      <c r="CC510" s="123"/>
      <c r="CD510" s="123">
        <f t="shared" si="665"/>
        <v>0</v>
      </c>
      <c r="CE510" s="123"/>
      <c r="CF510" s="123">
        <f t="shared" si="666"/>
        <v>0</v>
      </c>
      <c r="CG510" s="132"/>
      <c r="CH510" s="123">
        <f t="shared" si="667"/>
        <v>0</v>
      </c>
      <c r="CI510" s="123"/>
      <c r="CJ510" s="127"/>
      <c r="CK510" s="123"/>
      <c r="CL510" s="123">
        <f t="shared" si="668"/>
        <v>0</v>
      </c>
      <c r="CM510" s="130"/>
      <c r="CN510" s="123">
        <f t="shared" si="669"/>
        <v>0</v>
      </c>
      <c r="CO510" s="123"/>
      <c r="CP510" s="123">
        <f t="shared" si="670"/>
        <v>0</v>
      </c>
      <c r="CQ510" s="123"/>
      <c r="CR510" s="123">
        <f t="shared" si="671"/>
        <v>0</v>
      </c>
      <c r="CS510" s="123"/>
      <c r="CT510" s="133">
        <f t="shared" si="672"/>
        <v>0</v>
      </c>
      <c r="CU510" s="127"/>
      <c r="CV510" s="123">
        <f t="shared" si="673"/>
        <v>0</v>
      </c>
      <c r="CW510" s="126">
        <f t="shared" si="674"/>
        <v>0</v>
      </c>
      <c r="CX510" s="126">
        <f t="shared" si="674"/>
        <v>0</v>
      </c>
    </row>
    <row r="511" spans="1:102" ht="45" customHeight="1" x14ac:dyDescent="0.25">
      <c r="A511" s="91"/>
      <c r="B511" s="116">
        <v>432</v>
      </c>
      <c r="C511" s="201" t="s">
        <v>1140</v>
      </c>
      <c r="D511" s="161" t="s">
        <v>1141</v>
      </c>
      <c r="E511" s="95">
        <v>28004</v>
      </c>
      <c r="F511" s="96">
        <v>29405</v>
      </c>
      <c r="G511" s="119">
        <v>1.08</v>
      </c>
      <c r="H511" s="107">
        <v>1</v>
      </c>
      <c r="I511" s="108"/>
      <c r="J511" s="108"/>
      <c r="K511" s="108"/>
      <c r="L511" s="63"/>
      <c r="M511" s="120">
        <v>1.4</v>
      </c>
      <c r="N511" s="120">
        <v>1.68</v>
      </c>
      <c r="O511" s="120">
        <v>2.23</v>
      </c>
      <c r="P511" s="121">
        <v>2.57</v>
      </c>
      <c r="Q511" s="122">
        <v>0</v>
      </c>
      <c r="R511" s="123">
        <f t="shared" si="636"/>
        <v>0</v>
      </c>
      <c r="S511" s="124"/>
      <c r="T511" s="125">
        <f t="shared" si="637"/>
        <v>0</v>
      </c>
      <c r="U511" s="123"/>
      <c r="V511" s="123">
        <f t="shared" si="675"/>
        <v>0</v>
      </c>
      <c r="W511" s="123"/>
      <c r="X511" s="126">
        <f t="shared" si="638"/>
        <v>0</v>
      </c>
      <c r="Y511" s="123"/>
      <c r="Z511" s="123">
        <f t="shared" si="639"/>
        <v>0</v>
      </c>
      <c r="AA511" s="123"/>
      <c r="AB511" s="123">
        <f t="shared" si="640"/>
        <v>0</v>
      </c>
      <c r="AC511" s="123"/>
      <c r="AD511" s="123"/>
      <c r="AE511" s="123"/>
      <c r="AF511" s="123">
        <f t="shared" si="641"/>
        <v>0</v>
      </c>
      <c r="AG511" s="123"/>
      <c r="AH511" s="126">
        <f t="shared" si="642"/>
        <v>0</v>
      </c>
      <c r="AI511" s="123"/>
      <c r="AJ511" s="123">
        <f t="shared" si="643"/>
        <v>0</v>
      </c>
      <c r="AK511" s="123"/>
      <c r="AL511" s="123">
        <f t="shared" si="644"/>
        <v>0</v>
      </c>
      <c r="AM511" s="132"/>
      <c r="AN511" s="123">
        <f t="shared" si="645"/>
        <v>0</v>
      </c>
      <c r="AO511" s="130"/>
      <c r="AP511" s="127">
        <f t="shared" si="646"/>
        <v>0</v>
      </c>
      <c r="AQ511" s="127">
        <v>0</v>
      </c>
      <c r="AR511" s="127">
        <v>0</v>
      </c>
      <c r="AS511" s="123">
        <v>50</v>
      </c>
      <c r="AT511" s="123">
        <f t="shared" si="647"/>
        <v>1984828.8600000003</v>
      </c>
      <c r="AU511" s="123"/>
      <c r="AV511" s="126">
        <f t="shared" si="648"/>
        <v>0</v>
      </c>
      <c r="AW511" s="123"/>
      <c r="AX511" s="123">
        <f t="shared" si="649"/>
        <v>0</v>
      </c>
      <c r="AY511" s="123"/>
      <c r="AZ511" s="123">
        <f t="shared" si="650"/>
        <v>0</v>
      </c>
      <c r="BA511" s="123"/>
      <c r="BB511" s="123">
        <f t="shared" si="651"/>
        <v>0</v>
      </c>
      <c r="BC511" s="123"/>
      <c r="BD511" s="126">
        <f t="shared" si="652"/>
        <v>0</v>
      </c>
      <c r="BE511" s="123"/>
      <c r="BF511" s="123">
        <f t="shared" si="653"/>
        <v>0</v>
      </c>
      <c r="BG511" s="123"/>
      <c r="BH511" s="123">
        <f t="shared" si="654"/>
        <v>0</v>
      </c>
      <c r="BI511" s="123"/>
      <c r="BJ511" s="126">
        <f t="shared" si="655"/>
        <v>0</v>
      </c>
      <c r="BK511" s="123"/>
      <c r="BL511" s="127">
        <f t="shared" si="656"/>
        <v>0</v>
      </c>
      <c r="BM511" s="123"/>
      <c r="BN511" s="123">
        <f t="shared" si="657"/>
        <v>0</v>
      </c>
      <c r="BO511" s="123"/>
      <c r="BP511" s="123">
        <f t="shared" si="658"/>
        <v>0</v>
      </c>
      <c r="BQ511" s="123"/>
      <c r="BR511" s="123">
        <f t="shared" si="659"/>
        <v>0</v>
      </c>
      <c r="BS511" s="123"/>
      <c r="BT511" s="123">
        <f t="shared" si="660"/>
        <v>0</v>
      </c>
      <c r="BU511" s="123"/>
      <c r="BV511" s="126">
        <f t="shared" si="661"/>
        <v>0</v>
      </c>
      <c r="BW511" s="123"/>
      <c r="BX511" s="123">
        <f t="shared" si="662"/>
        <v>0</v>
      </c>
      <c r="BY511" s="123"/>
      <c r="BZ511" s="123">
        <f t="shared" si="663"/>
        <v>0</v>
      </c>
      <c r="CA511" s="123"/>
      <c r="CB511" s="123">
        <f t="shared" si="664"/>
        <v>0</v>
      </c>
      <c r="CC511" s="123"/>
      <c r="CD511" s="123">
        <f t="shared" si="665"/>
        <v>0</v>
      </c>
      <c r="CE511" s="123"/>
      <c r="CF511" s="123">
        <f t="shared" si="666"/>
        <v>0</v>
      </c>
      <c r="CG511" s="132"/>
      <c r="CH511" s="123">
        <f t="shared" si="667"/>
        <v>0</v>
      </c>
      <c r="CI511" s="123"/>
      <c r="CJ511" s="127"/>
      <c r="CK511" s="123"/>
      <c r="CL511" s="123">
        <f t="shared" si="668"/>
        <v>0</v>
      </c>
      <c r="CM511" s="130"/>
      <c r="CN511" s="123">
        <f t="shared" si="669"/>
        <v>0</v>
      </c>
      <c r="CO511" s="123"/>
      <c r="CP511" s="123">
        <f t="shared" si="670"/>
        <v>0</v>
      </c>
      <c r="CQ511" s="123"/>
      <c r="CR511" s="123">
        <f t="shared" si="671"/>
        <v>0</v>
      </c>
      <c r="CS511" s="123"/>
      <c r="CT511" s="133">
        <f t="shared" si="672"/>
        <v>0</v>
      </c>
      <c r="CU511" s="127"/>
      <c r="CV511" s="123">
        <f t="shared" si="673"/>
        <v>0</v>
      </c>
      <c r="CW511" s="126">
        <f t="shared" si="674"/>
        <v>50</v>
      </c>
      <c r="CX511" s="126">
        <f t="shared" si="674"/>
        <v>1984828.8600000003</v>
      </c>
    </row>
    <row r="512" spans="1:102" ht="45" customHeight="1" x14ac:dyDescent="0.25">
      <c r="A512" s="91"/>
      <c r="B512" s="116">
        <v>433</v>
      </c>
      <c r="C512" s="201" t="s">
        <v>1142</v>
      </c>
      <c r="D512" s="161" t="s">
        <v>1143</v>
      </c>
      <c r="E512" s="95">
        <v>28004</v>
      </c>
      <c r="F512" s="96">
        <v>29405</v>
      </c>
      <c r="G512" s="119">
        <v>1.61</v>
      </c>
      <c r="H512" s="107">
        <v>1</v>
      </c>
      <c r="I512" s="108"/>
      <c r="J512" s="108"/>
      <c r="K512" s="108"/>
      <c r="L512" s="63"/>
      <c r="M512" s="120">
        <v>1.4</v>
      </c>
      <c r="N512" s="120">
        <v>1.68</v>
      </c>
      <c r="O512" s="120">
        <v>2.23</v>
      </c>
      <c r="P512" s="121">
        <v>2.57</v>
      </c>
      <c r="Q512" s="122">
        <v>0</v>
      </c>
      <c r="R512" s="123">
        <f t="shared" si="636"/>
        <v>0</v>
      </c>
      <c r="S512" s="124"/>
      <c r="T512" s="125">
        <f t="shared" si="637"/>
        <v>0</v>
      </c>
      <c r="U512" s="123"/>
      <c r="V512" s="123">
        <f>(U512/12*2*$E512*$G512*$H512*$M512*$V$11)+(U512/12*10*$F512*$G512*$H512*$M512*$V$12)</f>
        <v>0</v>
      </c>
      <c r="W512" s="123"/>
      <c r="X512" s="126">
        <f t="shared" si="638"/>
        <v>0</v>
      </c>
      <c r="Y512" s="123"/>
      <c r="Z512" s="123">
        <f t="shared" si="639"/>
        <v>0</v>
      </c>
      <c r="AA512" s="123"/>
      <c r="AB512" s="123">
        <f t="shared" si="640"/>
        <v>0</v>
      </c>
      <c r="AC512" s="123"/>
      <c r="AD512" s="123"/>
      <c r="AE512" s="123"/>
      <c r="AF512" s="123">
        <f t="shared" si="641"/>
        <v>0</v>
      </c>
      <c r="AG512" s="123"/>
      <c r="AH512" s="126">
        <f t="shared" si="642"/>
        <v>0</v>
      </c>
      <c r="AI512" s="123"/>
      <c r="AJ512" s="123">
        <f t="shared" si="643"/>
        <v>0</v>
      </c>
      <c r="AK512" s="123"/>
      <c r="AL512" s="123">
        <f t="shared" si="644"/>
        <v>0</v>
      </c>
      <c r="AM512" s="132"/>
      <c r="AN512" s="123">
        <f t="shared" si="645"/>
        <v>0</v>
      </c>
      <c r="AO512" s="130"/>
      <c r="AP512" s="127">
        <f t="shared" si="646"/>
        <v>0</v>
      </c>
      <c r="AQ512" s="127">
        <v>0</v>
      </c>
      <c r="AR512" s="127">
        <v>0</v>
      </c>
      <c r="AS512" s="123">
        <v>30</v>
      </c>
      <c r="AT512" s="123">
        <f t="shared" si="647"/>
        <v>1775319.1469999999</v>
      </c>
      <c r="AU512" s="123"/>
      <c r="AV512" s="126">
        <f t="shared" si="648"/>
        <v>0</v>
      </c>
      <c r="AW512" s="123"/>
      <c r="AX512" s="123">
        <f t="shared" si="649"/>
        <v>0</v>
      </c>
      <c r="AY512" s="123"/>
      <c r="AZ512" s="123">
        <f t="shared" si="650"/>
        <v>0</v>
      </c>
      <c r="BA512" s="123"/>
      <c r="BB512" s="123">
        <f t="shared" si="651"/>
        <v>0</v>
      </c>
      <c r="BC512" s="123"/>
      <c r="BD512" s="126">
        <f t="shared" si="652"/>
        <v>0</v>
      </c>
      <c r="BE512" s="123"/>
      <c r="BF512" s="123">
        <f t="shared" si="653"/>
        <v>0</v>
      </c>
      <c r="BG512" s="123"/>
      <c r="BH512" s="123">
        <f t="shared" si="654"/>
        <v>0</v>
      </c>
      <c r="BI512" s="123"/>
      <c r="BJ512" s="126">
        <f t="shared" si="655"/>
        <v>0</v>
      </c>
      <c r="BK512" s="123"/>
      <c r="BL512" s="127">
        <f>(BK512/12*2*$E512*$G512*$H512*$N512*$BL$11)+(BK512/12*10*$F512*$G512*$H512*$N512*$BL$11)</f>
        <v>0</v>
      </c>
      <c r="BM512" s="123"/>
      <c r="BN512" s="123">
        <f t="shared" si="657"/>
        <v>0</v>
      </c>
      <c r="BO512" s="123"/>
      <c r="BP512" s="123">
        <f t="shared" si="658"/>
        <v>0</v>
      </c>
      <c r="BQ512" s="123"/>
      <c r="BR512" s="123">
        <f t="shared" si="659"/>
        <v>0</v>
      </c>
      <c r="BS512" s="123"/>
      <c r="BT512" s="123">
        <f t="shared" si="660"/>
        <v>0</v>
      </c>
      <c r="BU512" s="123"/>
      <c r="BV512" s="126">
        <f t="shared" si="661"/>
        <v>0</v>
      </c>
      <c r="BW512" s="123"/>
      <c r="BX512" s="123">
        <f t="shared" si="662"/>
        <v>0</v>
      </c>
      <c r="BY512" s="123"/>
      <c r="BZ512" s="123">
        <f t="shared" si="663"/>
        <v>0</v>
      </c>
      <c r="CA512" s="123"/>
      <c r="CB512" s="123">
        <f t="shared" si="664"/>
        <v>0</v>
      </c>
      <c r="CC512" s="123"/>
      <c r="CD512" s="123">
        <f t="shared" si="665"/>
        <v>0</v>
      </c>
      <c r="CE512" s="123"/>
      <c r="CF512" s="123">
        <f t="shared" si="666"/>
        <v>0</v>
      </c>
      <c r="CG512" s="132"/>
      <c r="CH512" s="123">
        <f t="shared" si="667"/>
        <v>0</v>
      </c>
      <c r="CI512" s="123"/>
      <c r="CJ512" s="127"/>
      <c r="CK512" s="123"/>
      <c r="CL512" s="123">
        <f t="shared" si="668"/>
        <v>0</v>
      </c>
      <c r="CM512" s="130"/>
      <c r="CN512" s="123">
        <f t="shared" si="669"/>
        <v>0</v>
      </c>
      <c r="CO512" s="123"/>
      <c r="CP512" s="123">
        <f t="shared" si="670"/>
        <v>0</v>
      </c>
      <c r="CQ512" s="123"/>
      <c r="CR512" s="123">
        <f t="shared" si="671"/>
        <v>0</v>
      </c>
      <c r="CS512" s="123"/>
      <c r="CT512" s="133">
        <f>(CS512/12*2*$E512*$G512*$H512*$P512*$CT$11)+(CS512/12*10*$F512*$G512*$H512*$P512*$CT$11)</f>
        <v>0</v>
      </c>
      <c r="CU512" s="127"/>
      <c r="CV512" s="123">
        <f t="shared" si="673"/>
        <v>0</v>
      </c>
      <c r="CW512" s="126">
        <f t="shared" si="674"/>
        <v>30</v>
      </c>
      <c r="CX512" s="126">
        <f t="shared" si="674"/>
        <v>1775319.1469999999</v>
      </c>
    </row>
    <row r="513" spans="1:102" ht="45" customHeight="1" x14ac:dyDescent="0.25">
      <c r="A513" s="91"/>
      <c r="B513" s="116">
        <v>434</v>
      </c>
      <c r="C513" s="201" t="s">
        <v>1144</v>
      </c>
      <c r="D513" s="161" t="s">
        <v>1145</v>
      </c>
      <c r="E513" s="95">
        <v>28004</v>
      </c>
      <c r="F513" s="96">
        <v>29405</v>
      </c>
      <c r="G513" s="119">
        <v>2.15</v>
      </c>
      <c r="H513" s="107">
        <v>1</v>
      </c>
      <c r="I513" s="108"/>
      <c r="J513" s="108"/>
      <c r="K513" s="108"/>
      <c r="L513" s="63"/>
      <c r="M513" s="120">
        <v>1.4</v>
      </c>
      <c r="N513" s="120">
        <v>1.68</v>
      </c>
      <c r="O513" s="120">
        <v>2.23</v>
      </c>
      <c r="P513" s="121">
        <v>2.57</v>
      </c>
      <c r="Q513" s="122">
        <v>0</v>
      </c>
      <c r="R513" s="123">
        <f t="shared" si="636"/>
        <v>0</v>
      </c>
      <c r="S513" s="124"/>
      <c r="T513" s="125">
        <f t="shared" si="637"/>
        <v>0</v>
      </c>
      <c r="U513" s="123"/>
      <c r="V513" s="123">
        <f t="shared" si="675"/>
        <v>0</v>
      </c>
      <c r="W513" s="123"/>
      <c r="X513" s="126">
        <f>(W513/12*2*$E513*$G513*$H513*$M513*$X$11)+(W513/12*10*$F513*$G513*$H513*$M513*$X$12)</f>
        <v>0</v>
      </c>
      <c r="Y513" s="123"/>
      <c r="Z513" s="123">
        <f>(Y513/12*2*$E513*$G513*$H513*$M513*$Z$11)+(Y513/12*10*$F513*$G513*$H513*$M513*$Z$12)</f>
        <v>0</v>
      </c>
      <c r="AA513" s="123"/>
      <c r="AB513" s="123">
        <f>(AA513/12*2*$E513*$G513*$H513*$M513*$AB$11)+(AA513/12*10*$F513*$G513*$H513*$M513*$AB$11)</f>
        <v>0</v>
      </c>
      <c r="AC513" s="123"/>
      <c r="AD513" s="123"/>
      <c r="AE513" s="123"/>
      <c r="AF513" s="123">
        <f t="shared" si="641"/>
        <v>0</v>
      </c>
      <c r="AG513" s="123"/>
      <c r="AH513" s="126">
        <f t="shared" si="642"/>
        <v>0</v>
      </c>
      <c r="AI513" s="123"/>
      <c r="AJ513" s="123">
        <f t="shared" si="643"/>
        <v>0</v>
      </c>
      <c r="AK513" s="123"/>
      <c r="AL513" s="123">
        <f t="shared" si="644"/>
        <v>0</v>
      </c>
      <c r="AM513" s="132"/>
      <c r="AN513" s="123">
        <f t="shared" si="645"/>
        <v>0</v>
      </c>
      <c r="AO513" s="130"/>
      <c r="AP513" s="127">
        <f t="shared" si="646"/>
        <v>0</v>
      </c>
      <c r="AQ513" s="127">
        <v>0</v>
      </c>
      <c r="AR513" s="127">
        <v>0</v>
      </c>
      <c r="AS513" s="123"/>
      <c r="AT513" s="123">
        <f t="shared" si="647"/>
        <v>0</v>
      </c>
      <c r="AU513" s="123"/>
      <c r="AV513" s="126">
        <f>(AU513/12*2*$E513*$G513*$H513*$M513*$AV$11)+(AU513/12*10*$F513*$G513*$H513*$M513*$AV$12)</f>
        <v>0</v>
      </c>
      <c r="AW513" s="123"/>
      <c r="AX513" s="123">
        <f>(AW513/12*2*$E513*$G513*$H513*$M513*$AX$11)+(AW513/12*10*$F513*$G513*$H513*$M513*$AX$12)</f>
        <v>0</v>
      </c>
      <c r="AY513" s="123"/>
      <c r="AZ513" s="123">
        <f t="shared" si="650"/>
        <v>0</v>
      </c>
      <c r="BA513" s="123"/>
      <c r="BB513" s="123">
        <f t="shared" si="651"/>
        <v>0</v>
      </c>
      <c r="BC513" s="123"/>
      <c r="BD513" s="126">
        <f t="shared" si="652"/>
        <v>0</v>
      </c>
      <c r="BE513" s="123"/>
      <c r="BF513" s="123">
        <f t="shared" si="653"/>
        <v>0</v>
      </c>
      <c r="BG513" s="123"/>
      <c r="BH513" s="123">
        <f t="shared" si="654"/>
        <v>0</v>
      </c>
      <c r="BI513" s="123"/>
      <c r="BJ513" s="126">
        <f t="shared" si="655"/>
        <v>0</v>
      </c>
      <c r="BK513" s="123"/>
      <c r="BL513" s="127">
        <f t="shared" si="656"/>
        <v>0</v>
      </c>
      <c r="BM513" s="123"/>
      <c r="BN513" s="123">
        <f t="shared" si="657"/>
        <v>0</v>
      </c>
      <c r="BO513" s="123"/>
      <c r="BP513" s="123">
        <f>(BO513/12*2*$E513*$G513*$H513*$M513*$BP$11)+(BO513/12*10*$F513*$G513*$H513*$M513*$BP$12)</f>
        <v>0</v>
      </c>
      <c r="BQ513" s="123"/>
      <c r="BR513" s="123">
        <f t="shared" si="659"/>
        <v>0</v>
      </c>
      <c r="BS513" s="123"/>
      <c r="BT513" s="123">
        <f t="shared" si="660"/>
        <v>0</v>
      </c>
      <c r="BU513" s="123"/>
      <c r="BV513" s="126">
        <f t="shared" si="661"/>
        <v>0</v>
      </c>
      <c r="BW513" s="123"/>
      <c r="BX513" s="123">
        <f t="shared" si="662"/>
        <v>0</v>
      </c>
      <c r="BY513" s="123"/>
      <c r="BZ513" s="123">
        <f t="shared" si="663"/>
        <v>0</v>
      </c>
      <c r="CA513" s="123"/>
      <c r="CB513" s="123">
        <f t="shared" si="664"/>
        <v>0</v>
      </c>
      <c r="CC513" s="123"/>
      <c r="CD513" s="123">
        <f>(CC513/12*2*$E513*$G513*$H513*$M513*$CD$11)+(CC513/12*10*$F513*$G513*$H513*$M513*$CD$11)</f>
        <v>0</v>
      </c>
      <c r="CE513" s="123"/>
      <c r="CF513" s="123">
        <f t="shared" si="666"/>
        <v>0</v>
      </c>
      <c r="CG513" s="132"/>
      <c r="CH513" s="123">
        <f>(CG513/12*2*$E513*$G513*$H513*$N513*$CH$11)+(CG513/12*10*$F513*$G513*$H513*$N513*$CH$11)</f>
        <v>0</v>
      </c>
      <c r="CI513" s="123"/>
      <c r="CJ513" s="127"/>
      <c r="CK513" s="123"/>
      <c r="CL513" s="123">
        <f>(CK513/12*2*$E513*$G513*$H513*$N513*$CL$11)+(CK513/12*10*$F513*$G513*$H513*$N513*$CL$12)</f>
        <v>0</v>
      </c>
      <c r="CM513" s="130"/>
      <c r="CN513" s="123">
        <f t="shared" si="669"/>
        <v>0</v>
      </c>
      <c r="CO513" s="123"/>
      <c r="CP513" s="123">
        <f t="shared" si="670"/>
        <v>0</v>
      </c>
      <c r="CQ513" s="123"/>
      <c r="CR513" s="123">
        <f t="shared" si="671"/>
        <v>0</v>
      </c>
      <c r="CS513" s="123"/>
      <c r="CT513" s="133">
        <f>(CS513/12*2*$E513*$G513*$H513*$P513*$CT$11)+(CS513/12*10*$F513*$G513*$H513*$P513*$CT$11)</f>
        <v>0</v>
      </c>
      <c r="CU513" s="127"/>
      <c r="CV513" s="123">
        <f t="shared" si="673"/>
        <v>0</v>
      </c>
      <c r="CW513" s="126">
        <f t="shared" si="674"/>
        <v>0</v>
      </c>
      <c r="CX513" s="126">
        <f t="shared" si="674"/>
        <v>0</v>
      </c>
    </row>
    <row r="514" spans="1:102" ht="45" customHeight="1" x14ac:dyDescent="0.25">
      <c r="A514" s="91"/>
      <c r="B514" s="116">
        <v>435</v>
      </c>
      <c r="C514" s="201" t="s">
        <v>1146</v>
      </c>
      <c r="D514" s="161" t="s">
        <v>1147</v>
      </c>
      <c r="E514" s="95">
        <v>28004</v>
      </c>
      <c r="F514" s="96">
        <v>29405</v>
      </c>
      <c r="G514" s="119">
        <v>7.29</v>
      </c>
      <c r="H514" s="107">
        <v>1</v>
      </c>
      <c r="I514" s="108"/>
      <c r="J514" s="108"/>
      <c r="K514" s="108"/>
      <c r="L514" s="63"/>
      <c r="M514" s="120">
        <v>1.4</v>
      </c>
      <c r="N514" s="120">
        <v>1.68</v>
      </c>
      <c r="O514" s="120">
        <v>2.23</v>
      </c>
      <c r="P514" s="121">
        <v>2.57</v>
      </c>
      <c r="Q514" s="122">
        <v>1</v>
      </c>
      <c r="R514" s="123">
        <f>(Q514/12*2*$E514*$G514*$H514*$M514)+(Q514/12*10*$F514*$G514*$H514*$M514)</f>
        <v>297724.32899999991</v>
      </c>
      <c r="S514" s="124">
        <v>3</v>
      </c>
      <c r="T514" s="125">
        <f>(S514/12*2*$E514*$G514*$H514*$M514)+(S514/12*10*$F514*$G514*$H514*$M514)</f>
        <v>893172.98699999996</v>
      </c>
      <c r="U514" s="123"/>
      <c r="V514" s="123">
        <f>(U514/12*2*$E514*$G514*$H514*$M514)+(U514/12*10*$F514*$G514*$H514*$M514)</f>
        <v>0</v>
      </c>
      <c r="W514" s="123"/>
      <c r="X514" s="123">
        <f>(W514/12*2*$E514*$G514*$H514*$M514)+(W514/12*10*$F514*$G514*$H514*$M514)</f>
        <v>0</v>
      </c>
      <c r="Y514" s="123"/>
      <c r="Z514" s="123">
        <f>(Y514/12*2*$E514*$G514*$H514*$M514)+(Y514/12*10*$F514*$G514*$H514*$M514)</f>
        <v>0</v>
      </c>
      <c r="AA514" s="123"/>
      <c r="AB514" s="123">
        <f>(AA514/12*2*$E514*$G514*$H514*$M514)+(AA514/12*10*$F514*$G514*$H514*$M514)</f>
        <v>0</v>
      </c>
      <c r="AC514" s="123"/>
      <c r="AD514" s="123"/>
      <c r="AE514" s="123"/>
      <c r="AF514" s="123">
        <f>(AE514/12*2*$E514*$G514*$H514*$M514)+(AE514/12*10*$F514*$G514*$H514*$M514)</f>
        <v>0</v>
      </c>
      <c r="AG514" s="123"/>
      <c r="AH514" s="123">
        <f>(AG514/12*2*$E514*$G514*$H514*$M514)+(AG514/12*10*$F514*$G514*$H514*$M514)</f>
        <v>0</v>
      </c>
      <c r="AI514" s="123"/>
      <c r="AJ514" s="123">
        <f>(AI514/12*2*$E514*$G514*$H514*$M514)+(AI514/12*10*$F514*$G514*$H514*$M514)</f>
        <v>0</v>
      </c>
      <c r="AK514" s="123"/>
      <c r="AL514" s="126">
        <f>(AK514/12*2*$E514*$G514*$H514*$N514)+(AK514/12*10*$F514*$G514*$H514*$N514)</f>
        <v>0</v>
      </c>
      <c r="AM514" s="132"/>
      <c r="AN514" s="123">
        <f>(AM514/12*2*$E514*$G514*$H514*$N514)+(AM514/12*10*$F514*$G514*$H514*$N514)</f>
        <v>0</v>
      </c>
      <c r="AO514" s="130"/>
      <c r="AP514" s="123">
        <f>(AO514/12*2*$E514*$G514*$H514*$N514)+(AO514/12*10*$F514*$G514*$H514*$N514)</f>
        <v>0</v>
      </c>
      <c r="AQ514" s="123">
        <v>0</v>
      </c>
      <c r="AR514" s="123">
        <v>0</v>
      </c>
      <c r="AS514" s="123"/>
      <c r="AT514" s="123"/>
      <c r="AU514" s="123"/>
      <c r="AV514" s="123"/>
      <c r="AW514" s="123"/>
      <c r="AX514" s="123">
        <f>(AW514/12*2*$E514*$G514*$H514*$M514)+(AW514/12*10*$F514*$G514*$H514*$M514)</f>
        <v>0</v>
      </c>
      <c r="AY514" s="123"/>
      <c r="AZ514" s="123">
        <f>(AY514/12*2*$E514*$G514*$H514*$N514)+(AY514/12*10*$F514*$G514*$H514*$N514)</f>
        <v>0</v>
      </c>
      <c r="BA514" s="123"/>
      <c r="BB514" s="123">
        <f>(BA514/12*2*$E514*$G514*$H514*$N514)+(BA514/12*10*$F514*$G514*$H514*$N514)</f>
        <v>0</v>
      </c>
      <c r="BC514" s="123"/>
      <c r="BD514" s="123">
        <f>(BC514/12*2*$E514*$G514*$H514*$N514)+(BC514/12*10*$F514*$G514*$H514*$N514)</f>
        <v>0</v>
      </c>
      <c r="BE514" s="123"/>
      <c r="BF514" s="123">
        <f>(BE514/12*10*$F514*$G514*$H514*$N514)</f>
        <v>0</v>
      </c>
      <c r="BG514" s="123"/>
      <c r="BH514" s="123">
        <f>(BG514/12*2*$E514*$G514*$H514*$N514)+(BG514/12*10*$F514*$G514*$H514*$N514)</f>
        <v>0</v>
      </c>
      <c r="BI514" s="123"/>
      <c r="BJ514" s="123">
        <f>(BI514/12*2*$E514*$G514*$H514*$N514)+(BI514/12*10*$F514*$G514*$H514*$N514)</f>
        <v>0</v>
      </c>
      <c r="BK514" s="123"/>
      <c r="BL514" s="123">
        <f>(BK514/12*2*$E514*$G514*$H514*$N514)+(BK514/12*10*$F514*$G514*$H514*$N514)</f>
        <v>0</v>
      </c>
      <c r="BM514" s="123"/>
      <c r="BN514" s="123">
        <f>(BM514/12*2*$E514*$G514*$H514*$M514)+(BM514/12*10*$F514*$G514*$H514*$M514)</f>
        <v>0</v>
      </c>
      <c r="BO514" s="123"/>
      <c r="BP514" s="123">
        <f>(BO514/12*2*$E514*$G514*$H514*$M514)+(BO514/12*10*$F514*$G514*$H514*$M514)</f>
        <v>0</v>
      </c>
      <c r="BQ514" s="123"/>
      <c r="BR514" s="123">
        <f>(BQ514/12*2*$E514*$G514*$H514*$M514)+(BQ514/12*10*$F514*$G514*$H514*$M514)</f>
        <v>0</v>
      </c>
      <c r="BS514" s="123"/>
      <c r="BT514" s="123">
        <f>(BS514/12*2*$E514*$G514*$H514*$N514)+(BS514/12*10*$F514*$G514*$H514*$N514)</f>
        <v>0</v>
      </c>
      <c r="BU514" s="123"/>
      <c r="BV514" s="123">
        <f>(BU514/12*2*$E514*$G514*$H514*$M514)+(BU514/12*10*$F514*$G514*$H514*$M514)</f>
        <v>0</v>
      </c>
      <c r="BW514" s="123"/>
      <c r="BX514" s="123">
        <f>(BW514/12*2*$E514*$G514*$H514*$M514)+(BW514/12*10*$F514*$G514*$H514*$M514)</f>
        <v>0</v>
      </c>
      <c r="BY514" s="123"/>
      <c r="BZ514" s="123">
        <f>(BY514/12*2*$E514*$G514*$H514*$M514)+(BY514/12*10*$F514*$G514*$H514*$M514)</f>
        <v>0</v>
      </c>
      <c r="CA514" s="123"/>
      <c r="CB514" s="123">
        <f>(CA514/12*2*$E514*$G514*$H514*$M514)+(CA514/12*10*$F514*$G514*$H514*$M514)</f>
        <v>0</v>
      </c>
      <c r="CC514" s="123"/>
      <c r="CD514" s="123">
        <f>(CC514/12*2*$E514*$G514*$H514*$M514)+(CC514/12*10*$F514*$G514*$H514*$M514)</f>
        <v>0</v>
      </c>
      <c r="CE514" s="123"/>
      <c r="CF514" s="123">
        <f>(CE514/12*10*$F514*$G514*$H514*$N514)</f>
        <v>0</v>
      </c>
      <c r="CG514" s="132"/>
      <c r="CH514" s="123">
        <f>(CG514/12*2*$E514*$G514*$H514*$N514)+(CG514/12*10*$F514*$G514*$H514*$N514)</f>
        <v>0</v>
      </c>
      <c r="CI514" s="123"/>
      <c r="CJ514" s="127">
        <f>(CI514*$E514*$G514*$H514*$N514)</f>
        <v>0</v>
      </c>
      <c r="CK514" s="123"/>
      <c r="CL514" s="123">
        <f>(CK514/12*2*$E514*$G514*$H514*$N514)+(CK514/12*10*$F514*$G514*$H514*$N514)</f>
        <v>0</v>
      </c>
      <c r="CM514" s="130"/>
      <c r="CN514" s="123">
        <f>(CM514/12*2*$E514*$G514*$H514*$N514)+(CM514/12*10*$F514*$G514*$H514*$N514)</f>
        <v>0</v>
      </c>
      <c r="CO514" s="123"/>
      <c r="CP514" s="123">
        <f>(CO514/12*2*$E514*$G514*$H514*$N514)+(CO514/12*10*$F514*$G514*$H514*$N514)</f>
        <v>0</v>
      </c>
      <c r="CQ514" s="123"/>
      <c r="CR514" s="123">
        <f>(CQ514/12*2*$E514*$G514*$H514*$O514)+(CQ514/12*10*$F514*$G514*$H514*$O514)</f>
        <v>0</v>
      </c>
      <c r="CS514" s="123"/>
      <c r="CT514" s="127">
        <f>(CS514/12*2*$E514*$G514*$H514*$P514)+(CS514/12*10*$F514*$G514*$H514*$P514)</f>
        <v>0</v>
      </c>
      <c r="CU514" s="127"/>
      <c r="CV514" s="127"/>
      <c r="CW514" s="126">
        <f t="shared" ref="CW514:CX516" si="676">SUM(Q514,S514,U514,W514,Y514,AA514,AC514,AE514,AG514,AM514,BQ514,AI514,AU514,CC514,AW514,AY514,AK514,BC514,AO514,AQ514,BE514,CE514,BG514,BI514,BK514,BS514,BM514,BO514,BU514,BW514,BY514,CA514,CG514,BA514,AS514,CI514,CK514,CM514,CO514,CQ514,CS514,CU514)</f>
        <v>4</v>
      </c>
      <c r="CX514" s="126">
        <f t="shared" si="676"/>
        <v>1190897.3159999999</v>
      </c>
    </row>
    <row r="515" spans="1:102" ht="45" customHeight="1" x14ac:dyDescent="0.25">
      <c r="A515" s="91"/>
      <c r="B515" s="116">
        <v>436</v>
      </c>
      <c r="C515" s="201" t="s">
        <v>1148</v>
      </c>
      <c r="D515" s="161" t="s">
        <v>1149</v>
      </c>
      <c r="E515" s="95">
        <v>28004</v>
      </c>
      <c r="F515" s="96">
        <v>29405</v>
      </c>
      <c r="G515" s="119">
        <v>6.54</v>
      </c>
      <c r="H515" s="107">
        <v>1</v>
      </c>
      <c r="I515" s="108"/>
      <c r="J515" s="108"/>
      <c r="K515" s="108"/>
      <c r="L515" s="63"/>
      <c r="M515" s="120">
        <v>1.4</v>
      </c>
      <c r="N515" s="120">
        <v>1.68</v>
      </c>
      <c r="O515" s="120">
        <v>2.23</v>
      </c>
      <c r="P515" s="121">
        <v>2.57</v>
      </c>
      <c r="Q515" s="122">
        <v>1</v>
      </c>
      <c r="R515" s="123">
        <f>(Q515/12*2*$E515*$G515*$H515*$M515)+(Q515/12*10*$F515*$G515*$H515*$M515)</f>
        <v>267094.25399999996</v>
      </c>
      <c r="S515" s="124"/>
      <c r="T515" s="125">
        <f>(S515/12*2*$E515*$G515*$H515*$M515)+(S515/12*10*$F515*$G515*$H515*$M515)</f>
        <v>0</v>
      </c>
      <c r="U515" s="123"/>
      <c r="V515" s="123">
        <f>(U515/12*2*$E515*$G515*$H515*$M515)+(U515/12*10*$F515*$G515*$H515*$M515)</f>
        <v>0</v>
      </c>
      <c r="W515" s="123"/>
      <c r="X515" s="123">
        <f>(W515/12*2*$E515*$G515*$H515*$M515)+(W515/12*10*$F515*$G515*$H515*$M515)</f>
        <v>0</v>
      </c>
      <c r="Y515" s="123"/>
      <c r="Z515" s="123">
        <f>(Y515/12*2*$E515*$G515*$H515*$M515)+(Y515/12*10*$F515*$G515*$H515*$M515)</f>
        <v>0</v>
      </c>
      <c r="AA515" s="123"/>
      <c r="AB515" s="123">
        <f>(AA515/12*2*$E515*$G515*$H515*$M515)+(AA515/12*10*$F515*$G515*$H515*$M515)</f>
        <v>0</v>
      </c>
      <c r="AC515" s="123"/>
      <c r="AD515" s="123"/>
      <c r="AE515" s="123"/>
      <c r="AF515" s="123">
        <f>(AE515/12*2*$E515*$G515*$H515*$M515)+(AE515/12*10*$F515*$G515*$H515*$M515)</f>
        <v>0</v>
      </c>
      <c r="AG515" s="123"/>
      <c r="AH515" s="123">
        <f>(AG515/12*2*$E515*$G515*$H515*$M515)+(AG515/12*10*$F515*$G515*$H515*$M515)</f>
        <v>0</v>
      </c>
      <c r="AI515" s="123"/>
      <c r="AJ515" s="123">
        <f>(AI515/12*2*$E515*$G515*$H515*$M515)+(AI515/12*10*$F515*$G515*$H515*$M515)</f>
        <v>0</v>
      </c>
      <c r="AK515" s="123"/>
      <c r="AL515" s="126">
        <f>(AK515/12*2*$E515*$G515*$H515*$N515)+(AK515/12*10*$F515*$G515*$H515*$N515)</f>
        <v>0</v>
      </c>
      <c r="AM515" s="132"/>
      <c r="AN515" s="123">
        <f>(AM515/12*2*$E515*$G515*$H515*$N515)+(AM515/12*10*$F515*$G515*$H515*$N515)</f>
        <v>0</v>
      </c>
      <c r="AO515" s="130"/>
      <c r="AP515" s="123">
        <f>(AO515/12*2*$E515*$G515*$H515*$N515)+(AO515/12*10*$F515*$G515*$H515*$N515)</f>
        <v>0</v>
      </c>
      <c r="AQ515" s="123">
        <v>0</v>
      </c>
      <c r="AR515" s="123">
        <v>0</v>
      </c>
      <c r="AS515" s="123"/>
      <c r="AT515" s="123"/>
      <c r="AU515" s="123"/>
      <c r="AV515" s="123"/>
      <c r="AW515" s="123"/>
      <c r="AX515" s="123">
        <f>(AW515/12*2*$E515*$G515*$H515*$M515)+(AW515/12*10*$F515*$G515*$H515*$M515)</f>
        <v>0</v>
      </c>
      <c r="AY515" s="123"/>
      <c r="AZ515" s="123">
        <f>(AY515/12*2*$E515*$G515*$H515*$N515)+(AY515/12*10*$F515*$G515*$H515*$N515)</f>
        <v>0</v>
      </c>
      <c r="BA515" s="123"/>
      <c r="BB515" s="123">
        <f>(BA515/12*2*$E515*$G515*$H515*$N515)+(BA515/12*10*$F515*$G515*$H515*$N515)</f>
        <v>0</v>
      </c>
      <c r="BC515" s="123"/>
      <c r="BD515" s="123">
        <f>(BC515/12*2*$E515*$G515*$H515*$N515)+(BC515/12*10*$F515*$G515*$H515*$N515)</f>
        <v>0</v>
      </c>
      <c r="BE515" s="123"/>
      <c r="BF515" s="123">
        <f>(BE515/12*10*$F515*$G515*$H515*$N515)</f>
        <v>0</v>
      </c>
      <c r="BG515" s="123"/>
      <c r="BH515" s="123">
        <f>(BG515/12*2*$E515*$G515*$H515*$N515)+(BG515/12*10*$F515*$G515*$H515*$N515)</f>
        <v>0</v>
      </c>
      <c r="BI515" s="123"/>
      <c r="BJ515" s="123">
        <f>(BI515/12*2*$E515*$G515*$H515*$N515)+(BI515/12*10*$F515*$G515*$H515*$N515)</f>
        <v>0</v>
      </c>
      <c r="BK515" s="123"/>
      <c r="BL515" s="123">
        <f>(BK515/12*2*$E515*$G515*$H515*$N515)+(BK515/12*10*$F515*$G515*$H515*$N515)</f>
        <v>0</v>
      </c>
      <c r="BM515" s="123"/>
      <c r="BN515" s="123">
        <f>(BM515/12*2*$E515*$G515*$H515*$M515)+(BM515/12*10*$F515*$G515*$H515*$M515)</f>
        <v>0</v>
      </c>
      <c r="BO515" s="123"/>
      <c r="BP515" s="123">
        <f>(BO515/12*2*$E515*$G515*$H515*$M515)+(BO515/12*10*$F515*$G515*$H515*$M515)</f>
        <v>0</v>
      </c>
      <c r="BQ515" s="123"/>
      <c r="BR515" s="123">
        <f>(BQ515/12*2*$E515*$G515*$H515*$M515)+(BQ515/12*10*$F515*$G515*$H515*$M515)</f>
        <v>0</v>
      </c>
      <c r="BS515" s="123"/>
      <c r="BT515" s="123">
        <f>(BS515/12*2*$E515*$G515*$H515*$N515)+(BS515/12*10*$F515*$G515*$H515*$N515)</f>
        <v>0</v>
      </c>
      <c r="BU515" s="123"/>
      <c r="BV515" s="123">
        <f>(BU515/12*2*$E515*$G515*$H515*$M515)+(BU515/12*10*$F515*$G515*$H515*$M515)</f>
        <v>0</v>
      </c>
      <c r="BW515" s="123"/>
      <c r="BX515" s="123">
        <f>(BW515/12*2*$E515*$G515*$H515*$M515)+(BW515/12*10*$F515*$G515*$H515*$M515)</f>
        <v>0</v>
      </c>
      <c r="BY515" s="123"/>
      <c r="BZ515" s="123">
        <f>(BY515/12*2*$E515*$G515*$H515*$M515)+(BY515/12*10*$F515*$G515*$H515*$M515)</f>
        <v>0</v>
      </c>
      <c r="CA515" s="123"/>
      <c r="CB515" s="123">
        <f>(CA515/12*2*$E515*$G515*$H515*$M515)+(CA515/12*10*$F515*$G515*$H515*$M515)</f>
        <v>0</v>
      </c>
      <c r="CC515" s="123"/>
      <c r="CD515" s="123">
        <f>(CC515/12*2*$E515*$G515*$H515*$M515)+(CC515/12*10*$F515*$G515*$H515*$M515)</f>
        <v>0</v>
      </c>
      <c r="CE515" s="123"/>
      <c r="CF515" s="123">
        <f>(CE515/12*10*$F515*$G515*$H515*$N515)</f>
        <v>0</v>
      </c>
      <c r="CG515" s="132"/>
      <c r="CH515" s="123">
        <f>(CG515/12*2*$E515*$G515*$H515*$N515)+(CG515/12*10*$F515*$G515*$H515*$N515)</f>
        <v>0</v>
      </c>
      <c r="CI515" s="123"/>
      <c r="CJ515" s="127">
        <f>(CI515*$E515*$G515*$H515*$N515)</f>
        <v>0</v>
      </c>
      <c r="CK515" s="123"/>
      <c r="CL515" s="123">
        <f>(CK515/12*2*$E515*$G515*$H515*$N515)+(CK515/12*10*$F515*$G515*$H515*$N515)</f>
        <v>0</v>
      </c>
      <c r="CM515" s="130"/>
      <c r="CN515" s="123">
        <f>(CM515/12*2*$E515*$G515*$H515*$N515)+(CM515/12*10*$F515*$G515*$H515*$N515)</f>
        <v>0</v>
      </c>
      <c r="CO515" s="123"/>
      <c r="CP515" s="123">
        <f>(CO515/12*2*$E515*$G515*$H515*$N515)+(CO515/12*10*$F515*$G515*$H515*$N515)</f>
        <v>0</v>
      </c>
      <c r="CQ515" s="123"/>
      <c r="CR515" s="123">
        <f>(CQ515/12*2*$E515*$G515*$H515*$O515)+(CQ515/12*10*$F515*$G515*$H515*$O515)</f>
        <v>0</v>
      </c>
      <c r="CS515" s="123"/>
      <c r="CT515" s="127">
        <f>(CS515/12*2*$E515*$G515*$H515*$P515)+(CS515/12*10*$F515*$G515*$H515*$P515)</f>
        <v>0</v>
      </c>
      <c r="CU515" s="127"/>
      <c r="CV515" s="127"/>
      <c r="CW515" s="126">
        <f t="shared" si="676"/>
        <v>1</v>
      </c>
      <c r="CX515" s="126">
        <f t="shared" si="676"/>
        <v>267094.25399999996</v>
      </c>
    </row>
    <row r="516" spans="1:102" ht="45" customHeight="1" x14ac:dyDescent="0.25">
      <c r="A516" s="91"/>
      <c r="B516" s="116">
        <v>437</v>
      </c>
      <c r="C516" s="201" t="s">
        <v>1150</v>
      </c>
      <c r="D516" s="161" t="s">
        <v>1151</v>
      </c>
      <c r="E516" s="95">
        <v>28004</v>
      </c>
      <c r="F516" s="96">
        <v>29405</v>
      </c>
      <c r="G516" s="119">
        <v>3.86</v>
      </c>
      <c r="H516" s="107">
        <v>1</v>
      </c>
      <c r="I516" s="108"/>
      <c r="J516" s="108"/>
      <c r="K516" s="108"/>
      <c r="L516" s="63"/>
      <c r="M516" s="120">
        <v>1.4</v>
      </c>
      <c r="N516" s="120">
        <v>1.68</v>
      </c>
      <c r="O516" s="120">
        <v>2.23</v>
      </c>
      <c r="P516" s="121">
        <v>2.57</v>
      </c>
      <c r="Q516" s="122">
        <v>1</v>
      </c>
      <c r="R516" s="123">
        <f>(Q516/12*2*$E516*$G516*$H516*$M516)+(Q516/12*10*$F516*$G516*$H516*$M516)</f>
        <v>157642.78599999996</v>
      </c>
      <c r="S516" s="124"/>
      <c r="T516" s="125">
        <f>(S516/12*2*$E516*$G516*$H516*$M516)+(S516/12*10*$F516*$G516*$H516*$M516)</f>
        <v>0</v>
      </c>
      <c r="U516" s="123"/>
      <c r="V516" s="123">
        <f>(U516/12*2*$E516*$G516*$H516*$M516)+(U516/12*10*$F516*$G516*$H516*$M516)</f>
        <v>0</v>
      </c>
      <c r="W516" s="123"/>
      <c r="X516" s="123">
        <f>(W516/12*2*$E516*$G516*$H516*$M516)+(W516/12*10*$F516*$G516*$H516*$M516)</f>
        <v>0</v>
      </c>
      <c r="Y516" s="123"/>
      <c r="Z516" s="123">
        <f>(Y516/12*2*$E516*$G516*$H516*$M516)+(Y516/12*10*$F516*$G516*$H516*$M516)</f>
        <v>0</v>
      </c>
      <c r="AA516" s="123"/>
      <c r="AB516" s="123">
        <f>(AA516/12*2*$E516*$G516*$H516*$M516)+(AA516/12*10*$F516*$G516*$H516*$M516)</f>
        <v>0</v>
      </c>
      <c r="AC516" s="123"/>
      <c r="AD516" s="123"/>
      <c r="AE516" s="123"/>
      <c r="AF516" s="123">
        <f>(AE516/12*2*$E516*$G516*$H516*$M516)+(AE516/12*10*$F516*$G516*$H516*$M516)</f>
        <v>0</v>
      </c>
      <c r="AG516" s="123"/>
      <c r="AH516" s="123">
        <f>(AG516/12*2*$E516*$G516*$H516*$M516)+(AG516/12*10*$F516*$G516*$H516*$M516)</f>
        <v>0</v>
      </c>
      <c r="AI516" s="123"/>
      <c r="AJ516" s="123">
        <f>(AI516/12*2*$E516*$G516*$H516*$M516)+(AI516/12*10*$F516*$G516*$H516*$M516)</f>
        <v>0</v>
      </c>
      <c r="AK516" s="123"/>
      <c r="AL516" s="126">
        <f>(AK516/12*2*$E516*$G516*$H516*$N516)+(AK516/12*10*$F516*$G516*$H516*$N516)</f>
        <v>0</v>
      </c>
      <c r="AM516" s="132"/>
      <c r="AN516" s="123">
        <f>(AM516/12*2*$E516*$G516*$H516*$N516)+(AM516/12*10*$F516*$G516*$H516*$N516)</f>
        <v>0</v>
      </c>
      <c r="AO516" s="130"/>
      <c r="AP516" s="123">
        <f>(AO516/12*2*$E516*$G516*$H516*$N516)+(AO516/12*10*$F516*$G516*$H516*$N516)</f>
        <v>0</v>
      </c>
      <c r="AQ516" s="123">
        <v>0</v>
      </c>
      <c r="AR516" s="123">
        <v>0</v>
      </c>
      <c r="AS516" s="123"/>
      <c r="AT516" s="123"/>
      <c r="AU516" s="123"/>
      <c r="AV516" s="123"/>
      <c r="AW516" s="123"/>
      <c r="AX516" s="123">
        <f>(AW516/12*2*$E516*$G516*$H516*$M516)+(AW516/12*10*$F516*$G516*$H516*$M516)</f>
        <v>0</v>
      </c>
      <c r="AY516" s="123"/>
      <c r="AZ516" s="123">
        <f>(AY516/12*2*$E516*$G516*$H516*$N516)+(AY516/12*10*$F516*$G516*$H516*$N516)</f>
        <v>0</v>
      </c>
      <c r="BA516" s="123"/>
      <c r="BB516" s="123">
        <f>(BA516/12*2*$E516*$G516*$H516*$N516)+(BA516/12*10*$F516*$G516*$H516*$N516)</f>
        <v>0</v>
      </c>
      <c r="BC516" s="123"/>
      <c r="BD516" s="123">
        <f>(BC516/12*2*$E516*$G516*$H516*$N516)+(BC516/12*10*$F516*$G516*$H516*$N516)</f>
        <v>0</v>
      </c>
      <c r="BE516" s="123"/>
      <c r="BF516" s="123">
        <f>(BE516/12*10*$F516*$G516*$H516*$N516)</f>
        <v>0</v>
      </c>
      <c r="BG516" s="123"/>
      <c r="BH516" s="123">
        <f>(BG516/12*2*$E516*$G516*$H516*$N516)+(BG516/12*10*$F516*$G516*$H516*$N516)</f>
        <v>0</v>
      </c>
      <c r="BI516" s="123"/>
      <c r="BJ516" s="123">
        <f>(BI516/12*2*$E516*$G516*$H516*$N516)+(BI516/12*10*$F516*$G516*$H516*$N516)</f>
        <v>0</v>
      </c>
      <c r="BK516" s="123"/>
      <c r="BL516" s="123">
        <f>(BK516/12*2*$E516*$G516*$H516*$N516)+(BK516/12*10*$F516*$G516*$H516*$N516)</f>
        <v>0</v>
      </c>
      <c r="BM516" s="123"/>
      <c r="BN516" s="123">
        <f>(BM516/12*2*$E516*$G516*$H516*$M516)+(BM516/12*10*$F516*$G516*$H516*$M516)</f>
        <v>0</v>
      </c>
      <c r="BO516" s="123"/>
      <c r="BP516" s="123">
        <f>(BO516/12*2*$E516*$G516*$H516*$M516)+(BO516/12*10*$F516*$G516*$H516*$M516)</f>
        <v>0</v>
      </c>
      <c r="BQ516" s="123"/>
      <c r="BR516" s="123">
        <f>(BQ516/12*2*$E516*$G516*$H516*$M516)+(BQ516/12*10*$F516*$G516*$H516*$M516)</f>
        <v>0</v>
      </c>
      <c r="BS516" s="123"/>
      <c r="BT516" s="123">
        <f>(BS516/12*2*$E516*$G516*$H516*$N516)+(BS516/12*10*$F516*$G516*$H516*$N516)</f>
        <v>0</v>
      </c>
      <c r="BU516" s="123"/>
      <c r="BV516" s="123">
        <f>(BU516/12*2*$E516*$G516*$H516*$M516)+(BU516/12*10*$F516*$G516*$H516*$M516)</f>
        <v>0</v>
      </c>
      <c r="BW516" s="123"/>
      <c r="BX516" s="123">
        <f>(BW516/12*2*$E516*$G516*$H516*$M516)+(BW516/12*10*$F516*$G516*$H516*$M516)</f>
        <v>0</v>
      </c>
      <c r="BY516" s="123"/>
      <c r="BZ516" s="123">
        <f>(BY516/12*2*$E516*$G516*$H516*$M516)+(BY516/12*10*$F516*$G516*$H516*$M516)</f>
        <v>0</v>
      </c>
      <c r="CA516" s="123"/>
      <c r="CB516" s="123">
        <f>(CA516/12*2*$E516*$G516*$H516*$M516)+(CA516/12*10*$F516*$G516*$H516*$M516)</f>
        <v>0</v>
      </c>
      <c r="CC516" s="123"/>
      <c r="CD516" s="123">
        <f>(CC516/12*2*$E516*$G516*$H516*$M516)+(CC516/12*10*$F516*$G516*$H516*$M516)</f>
        <v>0</v>
      </c>
      <c r="CE516" s="123"/>
      <c r="CF516" s="123">
        <f>(CE516/12*10*$F516*$G516*$H516*$N516)</f>
        <v>0</v>
      </c>
      <c r="CG516" s="132"/>
      <c r="CH516" s="123">
        <f>(CG516/12*2*$E516*$G516*$H516*$N516)+(CG516/12*10*$F516*$G516*$H516*$N516)</f>
        <v>0</v>
      </c>
      <c r="CI516" s="123"/>
      <c r="CJ516" s="127">
        <f>(CI516*$E516*$G516*$H516*$N516)</f>
        <v>0</v>
      </c>
      <c r="CK516" s="123"/>
      <c r="CL516" s="123">
        <f>(CK516/12*2*$E516*$G516*$H516*$N516)+(CK516/12*10*$F516*$G516*$H516*$N516)</f>
        <v>0</v>
      </c>
      <c r="CM516" s="130"/>
      <c r="CN516" s="123">
        <f>(CM516/12*2*$E516*$G516*$H516*$N516)+(CM516/12*10*$F516*$G516*$H516*$N516)</f>
        <v>0</v>
      </c>
      <c r="CO516" s="123"/>
      <c r="CP516" s="123">
        <f>(CO516/12*2*$E516*$G516*$H516*$N516)+(CO516/12*10*$F516*$G516*$H516*$N516)</f>
        <v>0</v>
      </c>
      <c r="CQ516" s="123"/>
      <c r="CR516" s="123">
        <f>(CQ516/12*2*$E516*$G516*$H516*$O516)+(CQ516/12*10*$F516*$G516*$H516*$O516)</f>
        <v>0</v>
      </c>
      <c r="CS516" s="123"/>
      <c r="CT516" s="127">
        <f>(CS516/12*2*$E516*$G516*$H516*$P516)+(CS516/12*10*$F516*$G516*$H516*$P516)</f>
        <v>0</v>
      </c>
      <c r="CU516" s="127"/>
      <c r="CV516" s="127"/>
      <c r="CW516" s="126">
        <f t="shared" si="676"/>
        <v>1</v>
      </c>
      <c r="CX516" s="126">
        <f t="shared" si="676"/>
        <v>157642.78599999996</v>
      </c>
    </row>
    <row r="517" spans="1:102" s="251" customFormat="1" ht="21.75" customHeight="1" x14ac:dyDescent="0.3">
      <c r="A517" s="109">
        <v>38</v>
      </c>
      <c r="B517" s="245"/>
      <c r="C517" s="93" t="s">
        <v>1152</v>
      </c>
      <c r="D517" s="246" t="s">
        <v>1153</v>
      </c>
      <c r="E517" s="95">
        <v>28004</v>
      </c>
      <c r="F517" s="96">
        <v>29405</v>
      </c>
      <c r="G517" s="247">
        <v>1.5</v>
      </c>
      <c r="H517" s="107">
        <v>1</v>
      </c>
      <c r="I517" s="248"/>
      <c r="J517" s="248"/>
      <c r="K517" s="248"/>
      <c r="L517" s="111"/>
      <c r="M517" s="249">
        <v>1.4</v>
      </c>
      <c r="N517" s="249">
        <v>1.68</v>
      </c>
      <c r="O517" s="249">
        <v>2.23</v>
      </c>
      <c r="P517" s="250">
        <v>2.57</v>
      </c>
      <c r="Q517" s="103">
        <f>SUM(Q518)</f>
        <v>0</v>
      </c>
      <c r="R517" s="104">
        <f>SUM(R518)</f>
        <v>0</v>
      </c>
      <c r="S517" s="114">
        <f t="shared" ref="S517:CD517" si="677">SUM(S518)</f>
        <v>0</v>
      </c>
      <c r="T517" s="115">
        <f t="shared" si="677"/>
        <v>0</v>
      </c>
      <c r="U517" s="104">
        <f t="shared" si="677"/>
        <v>0</v>
      </c>
      <c r="V517" s="104">
        <f t="shared" si="677"/>
        <v>0</v>
      </c>
      <c r="W517" s="104">
        <f t="shared" si="677"/>
        <v>0</v>
      </c>
      <c r="X517" s="104">
        <f t="shared" si="677"/>
        <v>0</v>
      </c>
      <c r="Y517" s="104">
        <f t="shared" si="677"/>
        <v>0</v>
      </c>
      <c r="Z517" s="104">
        <f t="shared" si="677"/>
        <v>0</v>
      </c>
      <c r="AA517" s="104">
        <f t="shared" si="677"/>
        <v>0</v>
      </c>
      <c r="AB517" s="104">
        <f t="shared" si="677"/>
        <v>0</v>
      </c>
      <c r="AC517" s="104">
        <f t="shared" si="677"/>
        <v>0</v>
      </c>
      <c r="AD517" s="104">
        <f t="shared" si="677"/>
        <v>0</v>
      </c>
      <c r="AE517" s="104">
        <f t="shared" si="677"/>
        <v>0</v>
      </c>
      <c r="AF517" s="104">
        <f t="shared" si="677"/>
        <v>0</v>
      </c>
      <c r="AG517" s="104">
        <f t="shared" si="677"/>
        <v>0</v>
      </c>
      <c r="AH517" s="104">
        <f t="shared" si="677"/>
        <v>0</v>
      </c>
      <c r="AI517" s="104">
        <f t="shared" si="677"/>
        <v>0</v>
      </c>
      <c r="AJ517" s="104">
        <f t="shared" si="677"/>
        <v>0</v>
      </c>
      <c r="AK517" s="104">
        <f t="shared" si="677"/>
        <v>0</v>
      </c>
      <c r="AL517" s="104">
        <f t="shared" si="677"/>
        <v>0</v>
      </c>
      <c r="AM517" s="104">
        <f t="shared" si="677"/>
        <v>0</v>
      </c>
      <c r="AN517" s="104">
        <f t="shared" si="677"/>
        <v>0</v>
      </c>
      <c r="AO517" s="106">
        <f t="shared" si="677"/>
        <v>28</v>
      </c>
      <c r="AP517" s="104">
        <f t="shared" si="677"/>
        <v>2073983.6040000003</v>
      </c>
      <c r="AQ517" s="104">
        <v>49</v>
      </c>
      <c r="AR517" s="104">
        <v>3626220.1199999978</v>
      </c>
      <c r="AS517" s="104">
        <f t="shared" si="677"/>
        <v>0</v>
      </c>
      <c r="AT517" s="104">
        <f t="shared" si="677"/>
        <v>0</v>
      </c>
      <c r="AU517" s="104">
        <f t="shared" si="677"/>
        <v>0</v>
      </c>
      <c r="AV517" s="104">
        <f t="shared" si="677"/>
        <v>0</v>
      </c>
      <c r="AW517" s="104">
        <f t="shared" si="677"/>
        <v>0</v>
      </c>
      <c r="AX517" s="104">
        <f t="shared" si="677"/>
        <v>0</v>
      </c>
      <c r="AY517" s="104">
        <f t="shared" si="677"/>
        <v>46</v>
      </c>
      <c r="AZ517" s="104">
        <f t="shared" si="677"/>
        <v>3407258.7779999999</v>
      </c>
      <c r="BA517" s="104">
        <f t="shared" si="677"/>
        <v>0</v>
      </c>
      <c r="BB517" s="104">
        <f t="shared" si="677"/>
        <v>0</v>
      </c>
      <c r="BC517" s="104">
        <f t="shared" si="677"/>
        <v>0</v>
      </c>
      <c r="BD517" s="104">
        <f t="shared" si="677"/>
        <v>0</v>
      </c>
      <c r="BE517" s="104">
        <f t="shared" si="677"/>
        <v>250</v>
      </c>
      <c r="BF517" s="104">
        <f t="shared" si="677"/>
        <v>13893862.5</v>
      </c>
      <c r="BG517" s="104">
        <f t="shared" si="677"/>
        <v>0</v>
      </c>
      <c r="BH517" s="104">
        <f t="shared" si="677"/>
        <v>0</v>
      </c>
      <c r="BI517" s="104">
        <f t="shared" si="677"/>
        <v>0</v>
      </c>
      <c r="BJ517" s="104">
        <f t="shared" si="677"/>
        <v>0</v>
      </c>
      <c r="BK517" s="104">
        <f t="shared" si="677"/>
        <v>0</v>
      </c>
      <c r="BL517" s="104">
        <f t="shared" si="677"/>
        <v>0</v>
      </c>
      <c r="BM517" s="104">
        <f t="shared" si="677"/>
        <v>0</v>
      </c>
      <c r="BN517" s="104">
        <f t="shared" si="677"/>
        <v>0</v>
      </c>
      <c r="BO517" s="104">
        <f t="shared" si="677"/>
        <v>0</v>
      </c>
      <c r="BP517" s="104">
        <f t="shared" si="677"/>
        <v>0</v>
      </c>
      <c r="BQ517" s="104">
        <f t="shared" si="677"/>
        <v>0</v>
      </c>
      <c r="BR517" s="104">
        <f t="shared" si="677"/>
        <v>0</v>
      </c>
      <c r="BS517" s="104">
        <f t="shared" si="677"/>
        <v>80</v>
      </c>
      <c r="BT517" s="104">
        <f t="shared" si="677"/>
        <v>5386970.4000000004</v>
      </c>
      <c r="BU517" s="104">
        <f t="shared" si="677"/>
        <v>0</v>
      </c>
      <c r="BV517" s="104">
        <f t="shared" si="677"/>
        <v>0</v>
      </c>
      <c r="BW517" s="104">
        <f t="shared" si="677"/>
        <v>488</v>
      </c>
      <c r="BX517" s="104">
        <f t="shared" si="677"/>
        <v>21907012.960000001</v>
      </c>
      <c r="BY517" s="104">
        <f t="shared" si="677"/>
        <v>0</v>
      </c>
      <c r="BZ517" s="104">
        <f t="shared" si="677"/>
        <v>0</v>
      </c>
      <c r="CA517" s="104">
        <f t="shared" si="677"/>
        <v>355</v>
      </c>
      <c r="CB517" s="104">
        <f t="shared" si="677"/>
        <v>23904681.149999995</v>
      </c>
      <c r="CC517" s="104">
        <f t="shared" si="677"/>
        <v>0</v>
      </c>
      <c r="CD517" s="104">
        <f t="shared" si="677"/>
        <v>0</v>
      </c>
      <c r="CE517" s="104">
        <f t="shared" ref="CE517:CX517" si="678">SUM(CE518)</f>
        <v>0</v>
      </c>
      <c r="CF517" s="104">
        <f t="shared" si="678"/>
        <v>0</v>
      </c>
      <c r="CG517" s="104">
        <f t="shared" si="678"/>
        <v>0</v>
      </c>
      <c r="CH517" s="104">
        <f t="shared" si="678"/>
        <v>0</v>
      </c>
      <c r="CI517" s="104">
        <f t="shared" si="678"/>
        <v>0</v>
      </c>
      <c r="CJ517" s="104">
        <f t="shared" si="678"/>
        <v>0</v>
      </c>
      <c r="CK517" s="104">
        <f t="shared" si="678"/>
        <v>0</v>
      </c>
      <c r="CL517" s="104">
        <f t="shared" si="678"/>
        <v>0</v>
      </c>
      <c r="CM517" s="104">
        <f t="shared" si="678"/>
        <v>0</v>
      </c>
      <c r="CN517" s="104">
        <f t="shared" si="678"/>
        <v>0</v>
      </c>
      <c r="CO517" s="104">
        <f t="shared" si="678"/>
        <v>0</v>
      </c>
      <c r="CP517" s="104">
        <f t="shared" si="678"/>
        <v>0</v>
      </c>
      <c r="CQ517" s="104">
        <f t="shared" si="678"/>
        <v>130</v>
      </c>
      <c r="CR517" s="104">
        <f t="shared" si="678"/>
        <v>11619663.0875</v>
      </c>
      <c r="CS517" s="104">
        <f t="shared" si="678"/>
        <v>30</v>
      </c>
      <c r="CT517" s="104">
        <f t="shared" si="678"/>
        <v>3090293.2875000001</v>
      </c>
      <c r="CU517" s="104">
        <f t="shared" si="678"/>
        <v>0</v>
      </c>
      <c r="CV517" s="104">
        <f t="shared" si="678"/>
        <v>0</v>
      </c>
      <c r="CW517" s="104">
        <f t="shared" si="678"/>
        <v>1456</v>
      </c>
      <c r="CX517" s="104">
        <f t="shared" si="678"/>
        <v>88909945.886999995</v>
      </c>
    </row>
    <row r="518" spans="1:102" ht="30" customHeight="1" x14ac:dyDescent="0.25">
      <c r="A518" s="91"/>
      <c r="B518" s="116">
        <v>438</v>
      </c>
      <c r="C518" s="117" t="s">
        <v>1154</v>
      </c>
      <c r="D518" s="207" t="s">
        <v>1155</v>
      </c>
      <c r="E518" s="95">
        <v>28004</v>
      </c>
      <c r="F518" s="96">
        <v>29405</v>
      </c>
      <c r="G518" s="209">
        <v>1.5</v>
      </c>
      <c r="H518" s="209">
        <v>1</v>
      </c>
      <c r="I518" s="203">
        <v>0.9</v>
      </c>
      <c r="J518" s="248"/>
      <c r="K518" s="248"/>
      <c r="L518" s="63"/>
      <c r="M518" s="252">
        <v>1.4</v>
      </c>
      <c r="N518" s="252">
        <v>1.68</v>
      </c>
      <c r="O518" s="252">
        <v>2.23</v>
      </c>
      <c r="P518" s="253">
        <v>2.57</v>
      </c>
      <c r="Q518" s="122"/>
      <c r="R518" s="123">
        <f>(Q518/12*2*$E518*$G518*$H518*$M518*$R$11)+(Q518/12*10*$F518*$G518*$I518*$M518*$R$11)</f>
        <v>0</v>
      </c>
      <c r="S518" s="124"/>
      <c r="T518" s="125">
        <f>(S518/12*2*$E518*$G518*$H518*$M518*$R$11)+(S518/12*10*$F518*$G518*$I518*$M518*$R$11)</f>
        <v>0</v>
      </c>
      <c r="U518" s="123"/>
      <c r="V518" s="123">
        <f>(U518/12*2*$E518*$G518*$H518*$M518*$V$11)+(U518/12*10*$F518*$G518*$I518*$M518*$V$12)</f>
        <v>0</v>
      </c>
      <c r="W518" s="254"/>
      <c r="X518" s="126">
        <f>(W518/12*2*$E518*$G518*$H518*$M518*$X$11)+(W518/12*10*$F518*$G518*$I518*$M518*$X$12)</f>
        <v>0</v>
      </c>
      <c r="Y518" s="254"/>
      <c r="Z518" s="123">
        <f>(Y518/12*2*$E518*$G518*$H518*$M518*$Z$11)+(Y518/12*10*$F518*$G518*$I518*$M518*$Z$12)</f>
        <v>0</v>
      </c>
      <c r="AA518" s="254"/>
      <c r="AB518" s="123">
        <f>(AA518/12*2*$E518*$G518*$H518*$M518*$AB$11)+(AA518/12*10*$F518*$G518*$I518*$M518*$AB$11)</f>
        <v>0</v>
      </c>
      <c r="AC518" s="255"/>
      <c r="AD518" s="123"/>
      <c r="AE518" s="123"/>
      <c r="AF518" s="123">
        <f>(AE518/12*2*$E518*$G518*$H518*$M518*$AF$11)+(AE518/12*10*$F518*$G518*$I518*$M518*$AF$11)</f>
        <v>0</v>
      </c>
      <c r="AG518" s="254"/>
      <c r="AH518" s="126">
        <f>(AG518/12*2*$E518*$G518*$H518*$M518*$AH$11)+(AG518/12*10*$F518*$G518*$I518*$M518*$AH$11)</f>
        <v>0</v>
      </c>
      <c r="AI518" s="123"/>
      <c r="AJ518" s="123">
        <f>(AI518/12*2*$E518*$G518*$H518*$M518*$AJ$11)+(AI518/12*5*$F518*$G518*$I518*$M518*$AJ$12)+(AI518/12*5*$F518*$G518*$I518*$M518*$AJ$13)</f>
        <v>0</v>
      </c>
      <c r="AK518" s="123"/>
      <c r="AL518" s="123">
        <f>(AK518/12*2*$E518*$G518*$H518*$N518*$AL$11)+(AK518/12*5*$F518*$G518*$I518*$N518*$AL$12)+(AK518/12*5*$F518*$G518*$I518*$N518*$AL$13)</f>
        <v>0</v>
      </c>
      <c r="AM518" s="256"/>
      <c r="AN518" s="123">
        <f>(AM518/12*2*$E518*$G518*$H518*$N518*$AN$11)+(AM518/12*10*$F518*$G518*$I518*$N518*$AN$12)</f>
        <v>0</v>
      </c>
      <c r="AO518" s="257">
        <v>28</v>
      </c>
      <c r="AP518" s="127">
        <f>(AO518/12*2*$E518*$G518*$H518*$N518*$AP$11)+(AO518/12*10*$F518*$G518*$I518*$N518*$AP$11)</f>
        <v>2073983.6040000003</v>
      </c>
      <c r="AQ518" s="127">
        <v>49</v>
      </c>
      <c r="AR518" s="127">
        <v>3626220.1199999978</v>
      </c>
      <c r="AS518" s="254"/>
      <c r="AT518" s="123"/>
      <c r="AU518" s="254"/>
      <c r="AV518" s="126"/>
      <c r="AW518" s="254"/>
      <c r="AX518" s="123">
        <f>(AW518/12*2*$E518*$G518*$H518*$M518*$AX$11)+(AW518/12*10*$F518*$G518*$I518*$M518*$AX$12)</f>
        <v>0</v>
      </c>
      <c r="AY518" s="123">
        <v>46</v>
      </c>
      <c r="AZ518" s="123">
        <f>(AY518/12*2*$E518*$G518*$H518*$N518*$AZ$11)+(AY518/12*10*$F518*$G518*$I518*$N518*$AZ$11)</f>
        <v>3407258.7779999999</v>
      </c>
      <c r="BA518" s="254"/>
      <c r="BB518" s="123">
        <f>(BA518/12*2*$E518*$G518*$H518*$N518*$BB$11)+(BA518/12*10*$F518*$G518*$I518*$N518*$BB$12)</f>
        <v>0</v>
      </c>
      <c r="BC518" s="254"/>
      <c r="BD518" s="126"/>
      <c r="BE518" s="254">
        <v>250</v>
      </c>
      <c r="BF518" s="123">
        <f>(BE518/12*10*$F518*$G518*$I518*$N518*$BF$12)</f>
        <v>13893862.5</v>
      </c>
      <c r="BG518" s="254"/>
      <c r="BH518" s="123">
        <f>(BG518/12*2*$E518*$G518*$H518*$N518*$BH$11)+(BG518/12*10*$F518*$G518*$I518*$N518*$BH$11)</f>
        <v>0</v>
      </c>
      <c r="BI518" s="254"/>
      <c r="BJ518" s="126">
        <f>(BI518/12*2*$E518*$G518*$H518*$N518*$BJ$11)+(BI518/12*10*$F518*$G518*$I518*$N518*$BJ$11)</f>
        <v>0</v>
      </c>
      <c r="BK518" s="254"/>
      <c r="BL518" s="127">
        <f>(BK518/12*2*$E518*$G518*$H518*$N518*$BL$11)+(BK518/12*10*$F518*$G518*$I518*$N518*$BL$11)</f>
        <v>0</v>
      </c>
      <c r="BM518" s="254"/>
      <c r="BN518" s="123">
        <f>(BM518/12*2*$E518*$G518*$H518*$M518*$BN$11)+(BM518/12*10*$F518*$G518*$I518*$M518*$BN$11)</f>
        <v>0</v>
      </c>
      <c r="BO518" s="254"/>
      <c r="BP518" s="123">
        <f>(BO518/12*2*$E518*$G518*$H518*$M518*$BP$11)+(BO518/12*10*$F518*$G518*$I518*$M518*$BP$12)</f>
        <v>0</v>
      </c>
      <c r="BQ518" s="254"/>
      <c r="BR518" s="123">
        <f>(BQ518/12*2*$E518*$G518*$H518*$M518*$BR$11)+(BQ518/12*10*$F518*$G518*$I518*$M518*$BR$11)</f>
        <v>0</v>
      </c>
      <c r="BS518" s="254">
        <v>80</v>
      </c>
      <c r="BT518" s="123">
        <f>(BS518/12*2*$E518*$G518*$H518*$N518*$BT$11)+(BS518/12*10*$F518*$G518*$I518*$N518*$BT$11)</f>
        <v>5386970.4000000004</v>
      </c>
      <c r="BU518" s="254"/>
      <c r="BV518" s="126">
        <f>(BU518/12*2*$E518*$G518*$H518*$M518*$BV$11)+(BU518/12*10*$F518*$G518*$I518*$M518*$BV$11)</f>
        <v>0</v>
      </c>
      <c r="BW518" s="254">
        <v>488</v>
      </c>
      <c r="BX518" s="123">
        <f>(BW518/12*2*$E518*$G518*$H518*$M518*$BX$11)+(BW518/12*10*$F518*$G518*$I518*$M518*$BX$11)</f>
        <v>21907012.960000001</v>
      </c>
      <c r="BY518" s="254"/>
      <c r="BZ518" s="123">
        <f>(BY518/12*2*$E518*$G518*$H518*$M518*$BZ$11)+(BY518/12*10*$F518*$G518*$I518*$M518*$BZ$11)</f>
        <v>0</v>
      </c>
      <c r="CA518" s="254">
        <v>355</v>
      </c>
      <c r="CB518" s="123">
        <f>(CA518/12*2*$E518*$G518*$H518*$M518*$CB$11)+(CA518/12*10*$F518*$G518*$I518*$M518*$CB$11)</f>
        <v>23904681.149999995</v>
      </c>
      <c r="CC518" s="254"/>
      <c r="CD518" s="123">
        <f>(CC518/12*2*$E518*$G518*$H518*$M518*$CD$11)+(CC518/12*10*$F518*$G518*$I518*$M518*$CD$11)</f>
        <v>0</v>
      </c>
      <c r="CE518" s="254"/>
      <c r="CF518" s="123">
        <f>(CE518/12*10*$F518*$G518*$I518*$N518*$CF$11)</f>
        <v>0</v>
      </c>
      <c r="CG518" s="256"/>
      <c r="CH518" s="123">
        <f>(CG518/12*2*$E518*$G518*$H518*$N518*$CH$11)+(CG518/12*10*$F518*$G518*$I518*$N518*$CH$11)</f>
        <v>0</v>
      </c>
      <c r="CI518" s="255"/>
      <c r="CJ518" s="127"/>
      <c r="CK518" s="254"/>
      <c r="CL518" s="123">
        <f>(CK518/12*2*$E518*$G518*$H518*$N518*$CL$11)+(CK518/12*10*$F518*$G518*$I518*$N518*$CL$12)</f>
        <v>0</v>
      </c>
      <c r="CM518" s="254"/>
      <c r="CN518" s="123">
        <f>(CM518/12*2*$E518*$G518*$H518*$N518*$CN$11)+(CM518/12*10*$F518*$G518*$I518*$N518*$CN$11)</f>
        <v>0</v>
      </c>
      <c r="CO518" s="254"/>
      <c r="CP518" s="123">
        <f>(CO518/12*2*$E518*$G518*$H518*$N518*$CP$11)+(CO518/12*10*$F518*$G518*$I518*$N518*$CP$11)</f>
        <v>0</v>
      </c>
      <c r="CQ518" s="254">
        <v>130</v>
      </c>
      <c r="CR518" s="123">
        <f>(CQ518/12*2*$E518*$G518*$H518*$O518*$CR$11)+(CQ518/12*10*$F518*$G518*$I518*$O518*$CR$11)</f>
        <v>11619663.0875</v>
      </c>
      <c r="CS518" s="254">
        <v>30</v>
      </c>
      <c r="CT518" s="133">
        <f>(CS518/12*2*$E518*$G518*$H518*$P518*$CT$11)+(CS518/12*10*$F518*$G518*$I518*$P518*$CT$11)</f>
        <v>3090293.2875000001</v>
      </c>
      <c r="CU518" s="123"/>
      <c r="CV518" s="123"/>
      <c r="CW518" s="126">
        <f>SUM(Q518,S518,U518,W518,Y518,AA518,AC518,AE518,AG518,AM518,BQ518,AI518,AU518,CC518,AW518,AY518,AK518,BC518,AO518,AQ518,BE518,CE518,BG518,BI518,BK518,BS518,BM518,BO518,BU518,BW518,BY518,CA518,CG518,BA518,AS518,CI518,CK518,CM518,CO518,CQ518,CS518,CU518)</f>
        <v>1456</v>
      </c>
      <c r="CX518" s="126">
        <f>SUM(R518,T518,V518,X518,Z518,AB518,AD518,AF518,AH518,AN518,BR518,AJ518,AV518,CD518,AX518,AZ518,AL518,BD518,AP518,AR518,BF518,CF518,BH518,BJ518,BL518,BT518,BN518,BP518,BV518,BX518,BZ518,CB518,CH518,BB518,AT518,CJ518,CL518,CN518,CP518,CR518,CT518,CV518)</f>
        <v>88909945.886999995</v>
      </c>
    </row>
    <row r="519" spans="1:102" s="51" customFormat="1" ht="19.5" customHeight="1" x14ac:dyDescent="0.25">
      <c r="A519" s="258" t="s">
        <v>1156</v>
      </c>
      <c r="B519" s="259"/>
      <c r="C519" s="259"/>
      <c r="D519" s="260" t="s">
        <v>1157</v>
      </c>
      <c r="E519" s="261"/>
      <c r="F519" s="261"/>
      <c r="G519" s="262"/>
      <c r="H519" s="262"/>
      <c r="I519" s="263"/>
      <c r="J519" s="263"/>
      <c r="K519" s="263"/>
      <c r="L519" s="111"/>
      <c r="M519" s="262"/>
      <c r="N519" s="262"/>
      <c r="O519" s="262"/>
      <c r="P519" s="262"/>
      <c r="Q519" s="264">
        <f t="shared" ref="Q519:CB519" si="679">Q14+Q16+Q34+Q37+Q44+Q51+Q56+Q58+Q62+Q74+Q82+Q87+Q107+Q117+Q122+Q142+Q155+Q163+Q167+Q276+Q287+Q297+Q302+Q309+Q314+Q327+Q329+Q344+Q350+Q364+Q381+Q401+Q422+Q431+Q437+Q490+Q447+Q517</f>
        <v>22368</v>
      </c>
      <c r="R519" s="264">
        <f t="shared" si="679"/>
        <v>1626288001.4112594</v>
      </c>
      <c r="S519" s="264">
        <f t="shared" si="679"/>
        <v>14738</v>
      </c>
      <c r="T519" s="264">
        <f t="shared" si="679"/>
        <v>1203133925.1540222</v>
      </c>
      <c r="U519" s="264">
        <f>U14+U16+U34+U37+U44+U51+U56+U58+U62+U74+U82+U87+U107+U117+U122+U142+U155+U163+U167+U276+U287+U297+U302+U309+U314+U327+U329+U344+U350+U364+U381+U401+U422+U431+U437+U490+U447+U517</f>
        <v>12705</v>
      </c>
      <c r="V519" s="264">
        <f t="shared" si="679"/>
        <v>793784359.73124599</v>
      </c>
      <c r="W519" s="264">
        <f t="shared" si="679"/>
        <v>9860</v>
      </c>
      <c r="X519" s="264">
        <f t="shared" si="679"/>
        <v>970684723.94890785</v>
      </c>
      <c r="Y519" s="264">
        <f t="shared" si="679"/>
        <v>7635</v>
      </c>
      <c r="Z519" s="264">
        <f t="shared" si="679"/>
        <v>854581018.4003098</v>
      </c>
      <c r="AA519" s="264">
        <f t="shared" si="679"/>
        <v>1445</v>
      </c>
      <c r="AB519" s="264">
        <f t="shared" si="679"/>
        <v>118240830.30819251</v>
      </c>
      <c r="AC519" s="264">
        <f t="shared" si="679"/>
        <v>0</v>
      </c>
      <c r="AD519" s="264">
        <f t="shared" si="679"/>
        <v>0</v>
      </c>
      <c r="AE519" s="264">
        <f t="shared" si="679"/>
        <v>4898</v>
      </c>
      <c r="AF519" s="265">
        <f t="shared" si="679"/>
        <v>259116841.44113868</v>
      </c>
      <c r="AG519" s="264">
        <f>AG14+AG16+AG34+AG37+AG44+AG51+AG56+AG58+AG62+AG74+AG82+AG87+AG107+AG117+AG122+AG142+AG155+AG163+AG167+AG276+AG287+AG297+AG302+AG309+AG314+AG327+AG329+AG344+AG350+AG364+AG381+AG401+AG422+AG431+AG437+AG490+AG447+AG517</f>
        <v>15326</v>
      </c>
      <c r="AH519" s="264">
        <f t="shared" si="679"/>
        <v>623082303.78342724</v>
      </c>
      <c r="AI519" s="266">
        <f t="shared" si="679"/>
        <v>9395</v>
      </c>
      <c r="AJ519" s="264">
        <f t="shared" si="679"/>
        <v>452334526.54121113</v>
      </c>
      <c r="AK519" s="264">
        <f t="shared" si="679"/>
        <v>13996</v>
      </c>
      <c r="AL519" s="264">
        <f t="shared" si="679"/>
        <v>1255341482.104733</v>
      </c>
      <c r="AM519" s="264">
        <f t="shared" si="679"/>
        <v>4368</v>
      </c>
      <c r="AN519" s="264">
        <f t="shared" si="679"/>
        <v>492575171.17609787</v>
      </c>
      <c r="AO519" s="264">
        <f t="shared" si="679"/>
        <v>290</v>
      </c>
      <c r="AP519" s="264">
        <f t="shared" si="679"/>
        <v>14284977.777603323</v>
      </c>
      <c r="AQ519" s="264">
        <f t="shared" si="679"/>
        <v>1130</v>
      </c>
      <c r="AR519" s="264">
        <f t="shared" si="679"/>
        <v>49015674.820000015</v>
      </c>
      <c r="AS519" s="264">
        <f t="shared" si="679"/>
        <v>2800</v>
      </c>
      <c r="AT519" s="264">
        <f t="shared" si="679"/>
        <v>150680120.71140003</v>
      </c>
      <c r="AU519" s="264">
        <f t="shared" si="679"/>
        <v>6967</v>
      </c>
      <c r="AV519" s="264">
        <f t="shared" si="679"/>
        <v>440380297.74185991</v>
      </c>
      <c r="AW519" s="264">
        <f t="shared" si="679"/>
        <v>2232</v>
      </c>
      <c r="AX519" s="264">
        <f t="shared" si="679"/>
        <v>89946748.242973387</v>
      </c>
      <c r="AY519" s="264">
        <f t="shared" si="679"/>
        <v>19221</v>
      </c>
      <c r="AZ519" s="264">
        <f t="shared" si="679"/>
        <v>1104925098.4833274</v>
      </c>
      <c r="BA519" s="264">
        <f t="shared" si="679"/>
        <v>2728</v>
      </c>
      <c r="BB519" s="264">
        <f t="shared" si="679"/>
        <v>169787924.88163194</v>
      </c>
      <c r="BC519" s="264">
        <f t="shared" si="679"/>
        <v>7691</v>
      </c>
      <c r="BD519" s="264">
        <f t="shared" si="679"/>
        <v>345882867.61504</v>
      </c>
      <c r="BE519" s="264">
        <f t="shared" si="679"/>
        <v>3250</v>
      </c>
      <c r="BF519" s="264">
        <f t="shared" si="679"/>
        <v>133918171.00638716</v>
      </c>
      <c r="BG519" s="264">
        <f t="shared" si="679"/>
        <v>2627</v>
      </c>
      <c r="BH519" s="264">
        <f t="shared" si="679"/>
        <v>85517853.796197623</v>
      </c>
      <c r="BI519" s="264">
        <f t="shared" si="679"/>
        <v>4013</v>
      </c>
      <c r="BJ519" s="264">
        <f t="shared" si="679"/>
        <v>207014734.22257632</v>
      </c>
      <c r="BK519" s="264">
        <f t="shared" si="679"/>
        <v>5154</v>
      </c>
      <c r="BL519" s="264">
        <f t="shared" si="679"/>
        <v>257396031.79374999</v>
      </c>
      <c r="BM519" s="264">
        <f t="shared" si="679"/>
        <v>1518</v>
      </c>
      <c r="BN519" s="264">
        <f t="shared" si="679"/>
        <v>62432559.341017395</v>
      </c>
      <c r="BO519" s="264">
        <f t="shared" si="679"/>
        <v>1738</v>
      </c>
      <c r="BP519" s="264">
        <f t="shared" si="679"/>
        <v>76006033.027929261</v>
      </c>
      <c r="BQ519" s="264">
        <f t="shared" si="679"/>
        <v>584</v>
      </c>
      <c r="BR519" s="264">
        <f t="shared" si="679"/>
        <v>28663118.505099997</v>
      </c>
      <c r="BS519" s="264">
        <f t="shared" si="679"/>
        <v>4184</v>
      </c>
      <c r="BT519" s="264">
        <f t="shared" si="679"/>
        <v>181476908.23901767</v>
      </c>
      <c r="BU519" s="264">
        <f t="shared" si="679"/>
        <v>774</v>
      </c>
      <c r="BV519" s="264">
        <f t="shared" si="679"/>
        <v>22068328.231879998</v>
      </c>
      <c r="BW519" s="264">
        <f t="shared" si="679"/>
        <v>2371</v>
      </c>
      <c r="BX519" s="264">
        <f t="shared" si="679"/>
        <v>65980557.429290138</v>
      </c>
      <c r="BY519" s="264">
        <f t="shared" si="679"/>
        <v>2720</v>
      </c>
      <c r="BZ519" s="264">
        <f t="shared" si="679"/>
        <v>84477448.743005797</v>
      </c>
      <c r="CA519" s="264">
        <f t="shared" si="679"/>
        <v>5663</v>
      </c>
      <c r="CB519" s="264">
        <f t="shared" si="679"/>
        <v>261517274.97929728</v>
      </c>
      <c r="CC519" s="264">
        <f t="shared" ref="CC519:CW519" si="680">CC14+CC16+CC34+CC37+CC44+CC51+CC56+CC58+CC62+CC74+CC82+CC87+CC107+CC117+CC122+CC142+CC155+CC163+CC167+CC276+CC287+CC297+CC302+CC309+CC314+CC327+CC329+CC344+CC350+CC364+CC381+CC401+CC422+CC431+CC437+CC490+CC447+CC517</f>
        <v>3650</v>
      </c>
      <c r="CD519" s="264">
        <f t="shared" si="680"/>
        <v>115387775.43768504</v>
      </c>
      <c r="CE519" s="264">
        <f t="shared" si="680"/>
        <v>2920</v>
      </c>
      <c r="CF519" s="264">
        <f t="shared" si="680"/>
        <v>99889182.296835989</v>
      </c>
      <c r="CG519" s="264">
        <f t="shared" si="680"/>
        <v>5069</v>
      </c>
      <c r="CH519" s="264">
        <f t="shared" si="680"/>
        <v>178625755.1386092</v>
      </c>
      <c r="CI519" s="264">
        <f t="shared" si="680"/>
        <v>15</v>
      </c>
      <c r="CJ519" s="264">
        <f t="shared" si="680"/>
        <v>1271545.7124999999</v>
      </c>
      <c r="CK519" s="264">
        <f t="shared" si="680"/>
        <v>679</v>
      </c>
      <c r="CL519" s="264">
        <f t="shared" si="680"/>
        <v>27284297.745865997</v>
      </c>
      <c r="CM519" s="264">
        <f t="shared" si="680"/>
        <v>277</v>
      </c>
      <c r="CN519" s="264">
        <f t="shared" si="680"/>
        <v>8544741.7865964193</v>
      </c>
      <c r="CO519" s="264">
        <f t="shared" si="680"/>
        <v>2465</v>
      </c>
      <c r="CP519" s="264">
        <f t="shared" si="680"/>
        <v>24782951.739999998</v>
      </c>
      <c r="CQ519" s="264">
        <f t="shared" si="680"/>
        <v>890</v>
      </c>
      <c r="CR519" s="264">
        <f t="shared" si="680"/>
        <v>45404419.595280603</v>
      </c>
      <c r="CS519" s="264">
        <f t="shared" si="680"/>
        <v>1350</v>
      </c>
      <c r="CT519" s="264">
        <f t="shared" si="680"/>
        <v>80753079.862652853</v>
      </c>
      <c r="CU519" s="264">
        <f t="shared" si="680"/>
        <v>0</v>
      </c>
      <c r="CV519" s="264">
        <f t="shared" si="680"/>
        <v>0</v>
      </c>
      <c r="CW519" s="264">
        <f t="shared" si="680"/>
        <v>211704</v>
      </c>
      <c r="CX519" s="264">
        <f>CX14+CX16+CX34+CX37+CX44+CX51+CX56+CX58+CX62+CX74+CX82+CX87+CX107+CX117+CX122+CX142+CX155+CX163+CX167+CX276+CX287+CX297+CX302+CX309+CX314+CX327+CX329+CX344+CX350+CX364+CX381+CX401+CX422+CX431+CX437+CX490+CX447+CX517</f>
        <v>13062479662.905855</v>
      </c>
    </row>
    <row r="520" spans="1:102" x14ac:dyDescent="0.25">
      <c r="Q520" s="1"/>
      <c r="R520" s="1"/>
    </row>
    <row r="523" spans="1:102" x14ac:dyDescent="0.25">
      <c r="CW523" s="1">
        <v>204267</v>
      </c>
      <c r="CX523" s="1">
        <v>11292764138.872414</v>
      </c>
    </row>
  </sheetData>
  <autoFilter ref="A14:DM519"/>
  <mergeCells count="172">
    <mergeCell ref="E1:H1"/>
    <mergeCell ref="E2:H2"/>
    <mergeCell ref="BC3:BD3"/>
    <mergeCell ref="BE3:BF3"/>
    <mergeCell ref="CM3:CN3"/>
    <mergeCell ref="CS3:CT3"/>
    <mergeCell ref="G6:G10"/>
    <mergeCell ref="H6:H10"/>
    <mergeCell ref="I6:I10"/>
    <mergeCell ref="J6:J10"/>
    <mergeCell ref="K6:K10"/>
    <mergeCell ref="L6:L10"/>
    <mergeCell ref="A6:A10"/>
    <mergeCell ref="B6:B10"/>
    <mergeCell ref="C6:C10"/>
    <mergeCell ref="D6:D10"/>
    <mergeCell ref="E6:E10"/>
    <mergeCell ref="F6:F10"/>
    <mergeCell ref="AA6:AB6"/>
    <mergeCell ref="AC6:AD6"/>
    <mergeCell ref="AE6:AF6"/>
    <mergeCell ref="AG6:AH6"/>
    <mergeCell ref="AI6:AJ6"/>
    <mergeCell ref="AK6:AL6"/>
    <mergeCell ref="M6:P6"/>
    <mergeCell ref="Q6:R6"/>
    <mergeCell ref="S6:T6"/>
    <mergeCell ref="U6:V6"/>
    <mergeCell ref="W6:X6"/>
    <mergeCell ref="Y6:Z6"/>
    <mergeCell ref="AY6:AZ6"/>
    <mergeCell ref="BA6:BB6"/>
    <mergeCell ref="BC6:BD6"/>
    <mergeCell ref="BE6:BF6"/>
    <mergeCell ref="BG6:BH6"/>
    <mergeCell ref="BI6:BJ6"/>
    <mergeCell ref="AM6:AN6"/>
    <mergeCell ref="AO6:AP6"/>
    <mergeCell ref="AQ6:AR6"/>
    <mergeCell ref="AS6:AT6"/>
    <mergeCell ref="AU6:AV6"/>
    <mergeCell ref="AW6:AX6"/>
    <mergeCell ref="CA6:CB6"/>
    <mergeCell ref="CC6:CD6"/>
    <mergeCell ref="CE6:CF6"/>
    <mergeCell ref="CG6:CH6"/>
    <mergeCell ref="BK6:BL6"/>
    <mergeCell ref="BM6:BN6"/>
    <mergeCell ref="BO6:BP6"/>
    <mergeCell ref="BQ6:BR6"/>
    <mergeCell ref="BS6:BT6"/>
    <mergeCell ref="BU6:BV6"/>
    <mergeCell ref="AG7:AH7"/>
    <mergeCell ref="AI7:AJ7"/>
    <mergeCell ref="AK7:AL7"/>
    <mergeCell ref="AM7:AN7"/>
    <mergeCell ref="AO7:AP7"/>
    <mergeCell ref="AS7:AT7"/>
    <mergeCell ref="CU6:CV6"/>
    <mergeCell ref="CW6:CX6"/>
    <mergeCell ref="Q7:R7"/>
    <mergeCell ref="S7:T7"/>
    <mergeCell ref="U7:V7"/>
    <mergeCell ref="W7:X7"/>
    <mergeCell ref="Y7:Z7"/>
    <mergeCell ref="AA7:AB7"/>
    <mergeCell ref="AC7:AD7"/>
    <mergeCell ref="AE7:AF7"/>
    <mergeCell ref="CI6:CJ6"/>
    <mergeCell ref="CK6:CL6"/>
    <mergeCell ref="CM6:CN6"/>
    <mergeCell ref="CO6:CP6"/>
    <mergeCell ref="CQ6:CR6"/>
    <mergeCell ref="CS6:CT6"/>
    <mergeCell ref="BW6:BX6"/>
    <mergeCell ref="BY6:BZ6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CQ7:CR7"/>
    <mergeCell ref="CS7:CT7"/>
    <mergeCell ref="CU7:CV7"/>
    <mergeCell ref="CW7:CX7"/>
    <mergeCell ref="M8:P8"/>
    <mergeCell ref="Q8:R8"/>
    <mergeCell ref="S8:T8"/>
    <mergeCell ref="U8:V8"/>
    <mergeCell ref="W8:X8"/>
    <mergeCell ref="Y8:Z8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AM8:AN8"/>
    <mergeCell ref="AO8:AP8"/>
    <mergeCell ref="AS8:AT8"/>
    <mergeCell ref="AU8:AV8"/>
    <mergeCell ref="AW8:AX8"/>
    <mergeCell ref="AY8:AZ8"/>
    <mergeCell ref="AA8:AB8"/>
    <mergeCell ref="AC8:AD8"/>
    <mergeCell ref="AE8:AF8"/>
    <mergeCell ref="AG8:AH8"/>
    <mergeCell ref="AI8:AJ8"/>
    <mergeCell ref="AK8:AL8"/>
    <mergeCell ref="BM8:BN8"/>
    <mergeCell ref="BO8:BP8"/>
    <mergeCell ref="BQ8:BR8"/>
    <mergeCell ref="BS8:BT8"/>
    <mergeCell ref="BU8:BV8"/>
    <mergeCell ref="BW8:BX8"/>
    <mergeCell ref="BA8:BB8"/>
    <mergeCell ref="BC8:BD8"/>
    <mergeCell ref="BE8:BF8"/>
    <mergeCell ref="BG8:BH8"/>
    <mergeCell ref="BI8:BJ8"/>
    <mergeCell ref="BK8:BL8"/>
    <mergeCell ref="CK8:CL8"/>
    <mergeCell ref="CM8:CN8"/>
    <mergeCell ref="CO8:CP8"/>
    <mergeCell ref="CQ8:CR8"/>
    <mergeCell ref="CS8:CT8"/>
    <mergeCell ref="CU8:CV8"/>
    <mergeCell ref="BY8:BZ8"/>
    <mergeCell ref="CA8:CB8"/>
    <mergeCell ref="CC8:CD8"/>
    <mergeCell ref="CE8:CF8"/>
    <mergeCell ref="CG8:CH8"/>
    <mergeCell ref="CI8:CJ8"/>
    <mergeCell ref="U9:V9"/>
    <mergeCell ref="W9:X9"/>
    <mergeCell ref="Y9:Z9"/>
    <mergeCell ref="BM9:BN9"/>
    <mergeCell ref="BO9:BP9"/>
    <mergeCell ref="BQ9:BR9"/>
    <mergeCell ref="M9:M10"/>
    <mergeCell ref="N9:N10"/>
    <mergeCell ref="O9:O10"/>
    <mergeCell ref="P9:P10"/>
    <mergeCell ref="Q9:R9"/>
    <mergeCell ref="S9:T9"/>
    <mergeCell ref="CS9:CT9"/>
    <mergeCell ref="CU9:CV9"/>
    <mergeCell ref="CE9:CF9"/>
    <mergeCell ref="CI9:CJ9"/>
    <mergeCell ref="CK9:CL9"/>
    <mergeCell ref="CM9:CN9"/>
    <mergeCell ref="CO9:CP9"/>
    <mergeCell ref="CQ9:CR9"/>
    <mergeCell ref="BS9:BT9"/>
    <mergeCell ref="BU9:BV9"/>
    <mergeCell ref="BW9:BX9"/>
    <mergeCell ref="BY9:BZ9"/>
    <mergeCell ref="CA9:CB9"/>
    <mergeCell ref="CC9:CD9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2024-12-27T05:11:01Z</dcterms:created>
  <dcterms:modified xsi:type="dcterms:W3CDTF">2024-12-27T05:32:03Z</dcterms:modified>
</cp:coreProperties>
</file>